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<sst xmlns="http://schemas.openxmlformats.org/spreadsheetml/2006/main" count="4678" uniqueCount="1702">
  <si>
    <t>Stavební rozpočet v nákladové ceně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</si>
  <si>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</si>
  <si>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</si>
  <si>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</si>
  <si>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</si>
  <si>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</si>
  <si>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</si>
  <si>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</si>
  <si>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</si>
  <si>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</si>
  <si>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</si>
  <si>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</si>
  <si>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</si>
  <si>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</si>
  <si>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</si>
  <si>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</si>
  <si>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</si>
  <si>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</si>
  <si>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</si>
  <si>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</si>
  <si>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</si>
  <si>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</si>
  <si>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</si>
  <si>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</si>
  <si>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</si>
  <si>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</si>
  <si>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</si>
  <si>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</si>
  <si>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</si>
  <si>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</si>
  <si>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</si>
  <si>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</si>
  <si>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</si>
  <si>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</si>
  <si>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</si>
  <si>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</si>
  <si>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</si>
  <si>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</si>
  <si>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</si>
  <si>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</si>
  <si>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</si>
  <si>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</si>
  <si>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</si>
  <si>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</si>
  <si>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</si>
  <si>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</si>
  <si>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</si>
  <si>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</si>
  <si>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</si>
  <si>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</si>
  <si>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</si>
  <si>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</si>
  <si>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</si>
  <si>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</si>
  <si>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</si>
  <si>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</si>
  <si>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</si>
  <si>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</si>
  <si>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</si>
  <si>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</si>
  <si>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</si>
  <si>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</si>
  <si>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</si>
  <si>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</si>
  <si>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</si>
  <si>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</si>
  <si>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</si>
  <si>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</si>
  <si>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</si>
  <si>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</si>
  <si>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</si>
  <si>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</si>
  <si>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</si>
  <si>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</si>
  <si>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</si>
  <si>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</si>
  <si>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</si>
  <si>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</si>
  <si>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</si>
  <si>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</si>
  <si>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</si>
  <si>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</si>
  <si>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</si>
  <si>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</si>
  <si>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</si>
  <si>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</si>
  <si>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</si>
  <si>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</si>
  <si>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</si>
  <si>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</si>
  <si>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</si>
  <si>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</si>
  <si>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</si>
  <si>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</si>
  <si>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</si>
  <si>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</si>
  <si>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</si>
  <si>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</si>
  <si>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</si>
  <si>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</si>
  <si>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</si>
  <si>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</si>
  <si>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</si>
  <si>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</si>
  <si>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</si>
  <si>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</si>
  <si>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</si>
  <si>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</si>
  <si>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</si>
  <si>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</si>
  <si>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</si>
  <si>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</si>
  <si>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</si>
  <si>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</si>
  <si>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</si>
  <si>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</si>
  <si>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</si>
  <si>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</si>
  <si>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</si>
  <si>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</si>
  <si>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</si>
  <si>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</si>
  <si>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</si>
  <si>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</si>
  <si>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</si>
  <si>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</si>
  <si>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</si>
  <si>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</si>
  <si>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</si>
  <si>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</si>
  <si>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</si>
  <si>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</si>
  <si>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</si>
  <si>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</si>
  <si>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</si>
  <si>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</si>
  <si>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</si>
  <si>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</si>
  <si>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</si>
  <si>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</si>
  <si>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</si>
  <si>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</si>
  <si>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</si>
  <si>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</si>
  <si>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</si>
  <si>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</si>
  <si>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</si>
  <si>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</si>
  <si>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</si>
  <si>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</si>
  <si>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</si>
  <si>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</si>
  <si>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</si>
  <si>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</si>
  <si>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</si>
  <si>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</si>
  <si>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</si>
  <si>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</si>
  <si>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</si>
  <si>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</si>
  <si>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</si>
  <si>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</si>
  <si>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</si>
  <si>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</si>
  <si>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</si>
  <si>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</si>
  <si>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</si>
  <si>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</si>
  <si>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</si>
  <si>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</si>
  <si>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</si>
  <si>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</si>
  <si>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</si>
  <si>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</si>
  <si>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</si>
  <si>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</si>
  <si>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</si>
  <si>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</si>
  <si>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</si>
  <si>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</si>
  <si>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</si>
  <si>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</si>
  <si>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</si>
  <si>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</si>
  <si>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</si>
  <si>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</si>
  <si>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</si>
  <si>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</si>
  <si>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</si>
  <si>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</si>
  <si>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</si>
  <si>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</si>
  <si>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</si>
  <si>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</si>
  <si>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</si>
  <si>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</si>
  <si>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</si>
  <si>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</si>
  <si>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</si>
  <si>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</si>
  <si>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</si>
  <si>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</si>
  <si>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</si>
  <si>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</si>
  <si>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</si>
  <si>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</si>
  <si>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</si>
  <si>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</si>
  <si>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</si>
  <si>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</si>
  <si>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</si>
  <si>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</si>
  <si>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</si>
  <si>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</si>
  <si>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</si>
  <si>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</si>
  <si>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</si>
  <si>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</si>
  <si>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</si>
  <si>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</si>
  <si>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</si>
  <si>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</si>
  <si>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</si>
  <si>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</si>
  <si>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</si>
  <si>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</si>
  <si>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</si>
  <si>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</si>
  <si>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</si>
  <si>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</si>
  <si>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</si>
  <si>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</si>
  <si>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</si>
  <si>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</si>
  <si>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</si>
  <si>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</si>
  <si>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</si>
  <si>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</si>
  <si>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</si>
  <si>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</si>
  <si>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</si>
  <si>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</si>
  <si>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</si>
  <si>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</si>
  <si>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</si>
  <si>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</si>
  <si>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</si>
  <si>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</si>
  <si>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</si>
  <si>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</si>
  <si>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</si>
  <si>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</si>
  <si>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</si>
  <si>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</si>
  <si>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</si>
  <si>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</si>
  <si>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</si>
  <si>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</si>
  <si>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</si>
  <si>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</si>
  <si>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</si>
  <si>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</si>
  <si>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</si>
  <si>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</si>
  <si>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</si>
  <si>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</si>
  <si>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</si>
  <si>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</si>
  <si>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</si>
  <si>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</si>
  <si>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</si>
  <si>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Poznámka:</t>
  </si>
  <si>
    <t>Objekt</t>
  </si>
  <si>
    <t>01</t>
  </si>
  <si>
    <t>02</t>
  </si>
  <si>
    <t>Kód</t>
  </si>
  <si>
    <t>281606121R01</t>
  </si>
  <si>
    <t>281606121R00</t>
  </si>
  <si>
    <t>281606122R00</t>
  </si>
  <si>
    <t>281606123R00</t>
  </si>
  <si>
    <t>289902111R00</t>
  </si>
  <si>
    <t>319201311R00</t>
  </si>
  <si>
    <t>319201317R01</t>
  </si>
  <si>
    <t>310238211R02</t>
  </si>
  <si>
    <t>310239211R02</t>
  </si>
  <si>
    <t>319201311R01</t>
  </si>
  <si>
    <t>311311931T00</t>
  </si>
  <si>
    <t>311312011R00</t>
  </si>
  <si>
    <t>311351805R00</t>
  </si>
  <si>
    <t>311351806R00</t>
  </si>
  <si>
    <t>000RE001452R</t>
  </si>
  <si>
    <t>342264051R01</t>
  </si>
  <si>
    <t>348942111R01</t>
  </si>
  <si>
    <t>602011141RT3</t>
  </si>
  <si>
    <t>602011183T00</t>
  </si>
  <si>
    <t>602011183T01</t>
  </si>
  <si>
    <t>610991001R00</t>
  </si>
  <si>
    <t>767581801R01</t>
  </si>
  <si>
    <t>627451641RT3</t>
  </si>
  <si>
    <t>622474105RT1</t>
  </si>
  <si>
    <t>622491115R01</t>
  </si>
  <si>
    <t>620991005R00</t>
  </si>
  <si>
    <t>621481211RT2</t>
  </si>
  <si>
    <t>622481211RT2</t>
  </si>
  <si>
    <t>622481211RTR1</t>
  </si>
  <si>
    <t>601011112R01</t>
  </si>
  <si>
    <t>622474110R01</t>
  </si>
  <si>
    <t>622481292R00</t>
  </si>
  <si>
    <t>713133112R01</t>
  </si>
  <si>
    <t>622421491R01</t>
  </si>
  <si>
    <t>622413116R01</t>
  </si>
  <si>
    <t>622474135R56</t>
  </si>
  <si>
    <t>625907111R00</t>
  </si>
  <si>
    <t>000XEZ10VD</t>
  </si>
  <si>
    <t>632411907T00</t>
  </si>
  <si>
    <t>639561111R00</t>
  </si>
  <si>
    <t>639561111T00</t>
  </si>
  <si>
    <t>639571110R00</t>
  </si>
  <si>
    <t>639571311R01</t>
  </si>
  <si>
    <t>639571311T00</t>
  </si>
  <si>
    <t>639571205R00</t>
  </si>
  <si>
    <t>639571205T00</t>
  </si>
  <si>
    <t>630900020RAB</t>
  </si>
  <si>
    <t>648952421R00</t>
  </si>
  <si>
    <t>641940013RA1</t>
  </si>
  <si>
    <t>622481291R00</t>
  </si>
  <si>
    <t>641940015RA2</t>
  </si>
  <si>
    <t>639571110T00</t>
  </si>
  <si>
    <t>642940090RA0</t>
  </si>
  <si>
    <t>642940090RA1</t>
  </si>
  <si>
    <t>641940015R96</t>
  </si>
  <si>
    <t>642940092RA0</t>
  </si>
  <si>
    <t>641940015R97</t>
  </si>
  <si>
    <t>711</t>
  </si>
  <si>
    <t>711170101T00</t>
  </si>
  <si>
    <t>712</t>
  </si>
  <si>
    <t>712211559T00</t>
  </si>
  <si>
    <t>711801003T01</t>
  </si>
  <si>
    <t>713</t>
  </si>
  <si>
    <t>713181141R00</t>
  </si>
  <si>
    <t>713111112T00</t>
  </si>
  <si>
    <t>713111211RO6</t>
  </si>
  <si>
    <t>713111125R00</t>
  </si>
  <si>
    <t>713131131T00</t>
  </si>
  <si>
    <t>713131141R00</t>
  </si>
  <si>
    <t>713131152T00</t>
  </si>
  <si>
    <t>713141312T00</t>
  </si>
  <si>
    <t>713141312R01</t>
  </si>
  <si>
    <t>721</t>
  </si>
  <si>
    <t>721242110T00</t>
  </si>
  <si>
    <t>721242111R00</t>
  </si>
  <si>
    <t>728</t>
  </si>
  <si>
    <t>728314113R00</t>
  </si>
  <si>
    <t>728314111R00</t>
  </si>
  <si>
    <t>728314112R00</t>
  </si>
  <si>
    <t>728314112R01</t>
  </si>
  <si>
    <t>762</t>
  </si>
  <si>
    <t>762822120RTR1</t>
  </si>
  <si>
    <t>764</t>
  </si>
  <si>
    <t>764410850R00</t>
  </si>
  <si>
    <t>764430840R00</t>
  </si>
  <si>
    <t>764312821R00</t>
  </si>
  <si>
    <t>764351836R00</t>
  </si>
  <si>
    <t>764352810R00</t>
  </si>
  <si>
    <t>764454801R00</t>
  </si>
  <si>
    <t>764454010RAB</t>
  </si>
  <si>
    <t>764410010RAD1</t>
  </si>
  <si>
    <t>764410010RAB</t>
  </si>
  <si>
    <t>764359211R01</t>
  </si>
  <si>
    <t>764352292R01</t>
  </si>
  <si>
    <t>764430260R00</t>
  </si>
  <si>
    <t>764322230R01</t>
  </si>
  <si>
    <t>764430250R01</t>
  </si>
  <si>
    <t>764454201T02</t>
  </si>
  <si>
    <t>764454202R01</t>
  </si>
  <si>
    <t>764322220R05</t>
  </si>
  <si>
    <t>764351201R01</t>
  </si>
  <si>
    <t>0001478514VD</t>
  </si>
  <si>
    <t>764352291R01</t>
  </si>
  <si>
    <t>767</t>
  </si>
  <si>
    <t>210220372R00</t>
  </si>
  <si>
    <t>000ZKB-4VD</t>
  </si>
  <si>
    <t>000ZKB-9VD</t>
  </si>
  <si>
    <t>767920260R01</t>
  </si>
  <si>
    <t>767658022R01</t>
  </si>
  <si>
    <t>000ZKB-8VD</t>
  </si>
  <si>
    <t>000ZKA-9VD</t>
  </si>
  <si>
    <t>766</t>
  </si>
  <si>
    <t>766624052R01</t>
  </si>
  <si>
    <t>781</t>
  </si>
  <si>
    <t>781670014RA2</t>
  </si>
  <si>
    <t>781670016RA3</t>
  </si>
  <si>
    <t>783</t>
  </si>
  <si>
    <t>764430220R01</t>
  </si>
  <si>
    <t>783522000R00</t>
  </si>
  <si>
    <t>783124120R01</t>
  </si>
  <si>
    <t>764352294R00</t>
  </si>
  <si>
    <t>784</t>
  </si>
  <si>
    <t>784450075RA0</t>
  </si>
  <si>
    <t>784111701R00</t>
  </si>
  <si>
    <t>784115512R00</t>
  </si>
  <si>
    <t>784442011R00</t>
  </si>
  <si>
    <t>787</t>
  </si>
  <si>
    <t>787600801R00</t>
  </si>
  <si>
    <t>938901132R01</t>
  </si>
  <si>
    <t>941941031R00</t>
  </si>
  <si>
    <t>941941111R00</t>
  </si>
  <si>
    <t>941941831R00</t>
  </si>
  <si>
    <t>944944011R00</t>
  </si>
  <si>
    <t>944944031R00</t>
  </si>
  <si>
    <t>944945012R00</t>
  </si>
  <si>
    <t>943943221R00</t>
  </si>
  <si>
    <t>943943291R00</t>
  </si>
  <si>
    <t>943943298R00</t>
  </si>
  <si>
    <t>943943821R00</t>
  </si>
  <si>
    <t>944944081R00</t>
  </si>
  <si>
    <t>952901111R00</t>
  </si>
  <si>
    <t>952902110R00</t>
  </si>
  <si>
    <t>952901411R96</t>
  </si>
  <si>
    <t>962081131R00</t>
  </si>
  <si>
    <t>968062355R00</t>
  </si>
  <si>
    <t>968072354R00</t>
  </si>
  <si>
    <t>968072356R00</t>
  </si>
  <si>
    <t>968072455R00</t>
  </si>
  <si>
    <t>968072456R00</t>
  </si>
  <si>
    <t>968062559R00</t>
  </si>
  <si>
    <t>968072559R00</t>
  </si>
  <si>
    <t>968061113R00</t>
  </si>
  <si>
    <t>968071112R00</t>
  </si>
  <si>
    <t>968071125R00</t>
  </si>
  <si>
    <t>968061137R00</t>
  </si>
  <si>
    <t>968071136R00</t>
  </si>
  <si>
    <t>968071137R00</t>
  </si>
  <si>
    <t>968061125R00</t>
  </si>
  <si>
    <t>968062991R00</t>
  </si>
  <si>
    <t>000XSD1204RVD</t>
  </si>
  <si>
    <t>978011121R00</t>
  </si>
  <si>
    <t>971033231R11</t>
  </si>
  <si>
    <t>111111VD</t>
  </si>
  <si>
    <t>H01</t>
  </si>
  <si>
    <t>998011018R00</t>
  </si>
  <si>
    <t>998011019R00</t>
  </si>
  <si>
    <t>998011001R00</t>
  </si>
  <si>
    <t>M121VD</t>
  </si>
  <si>
    <t>121212VD</t>
  </si>
  <si>
    <t>M65</t>
  </si>
  <si>
    <t>650811692R09</t>
  </si>
  <si>
    <t>650101566R00</t>
  </si>
  <si>
    <t>210202126R06</t>
  </si>
  <si>
    <t>210201521R02</t>
  </si>
  <si>
    <t>S</t>
  </si>
  <si>
    <t>979082111R00</t>
  </si>
  <si>
    <t>979082121R00</t>
  </si>
  <si>
    <t>979081111R00</t>
  </si>
  <si>
    <t>979081121R00</t>
  </si>
  <si>
    <t>979951111R00</t>
  </si>
  <si>
    <t>979095312R00</t>
  </si>
  <si>
    <t>979990109R01</t>
  </si>
  <si>
    <t>979990161R01</t>
  </si>
  <si>
    <t>979990121R00</t>
  </si>
  <si>
    <t>979990101R00</t>
  </si>
  <si>
    <t>111VD</t>
  </si>
  <si>
    <t>000XA-2VD</t>
  </si>
  <si>
    <t>000XA-1VD</t>
  </si>
  <si>
    <t>000X A-7VD</t>
  </si>
  <si>
    <t>000XA-5VD</t>
  </si>
  <si>
    <t>000XB-10VD</t>
  </si>
  <si>
    <t>000XA-4VD</t>
  </si>
  <si>
    <t>000XB-1VD</t>
  </si>
  <si>
    <t>000XB-9VD</t>
  </si>
  <si>
    <t>000XA9VD</t>
  </si>
  <si>
    <t>000XB-15VD</t>
  </si>
  <si>
    <t>000XB-14VD</t>
  </si>
  <si>
    <t>000XB-11VD</t>
  </si>
  <si>
    <t>000ZEA-8</t>
  </si>
  <si>
    <t>000ZEA-9VD</t>
  </si>
  <si>
    <t>23521130R1</t>
  </si>
  <si>
    <t>000ZEA-12VD</t>
  </si>
  <si>
    <t>000ZEB-13VD</t>
  </si>
  <si>
    <t>000ZKA-1VD</t>
  </si>
  <si>
    <t>000ZKA-3VD</t>
  </si>
  <si>
    <t>270313631T01</t>
  </si>
  <si>
    <t>272311117R01</t>
  </si>
  <si>
    <t>283758907</t>
  </si>
  <si>
    <t>283764096</t>
  </si>
  <si>
    <t>283764097</t>
  </si>
  <si>
    <t>283763862</t>
  </si>
  <si>
    <t>283763865</t>
  </si>
  <si>
    <t>28375971</t>
  </si>
  <si>
    <t>631401593</t>
  </si>
  <si>
    <t>631531657R</t>
  </si>
  <si>
    <t>631531654R</t>
  </si>
  <si>
    <t>11163110</t>
  </si>
  <si>
    <t>62852265</t>
  </si>
  <si>
    <t>628522504</t>
  </si>
  <si>
    <t>63140150</t>
  </si>
  <si>
    <t>283502511R</t>
  </si>
  <si>
    <t>283502511</t>
  </si>
  <si>
    <t>28350261</t>
  </si>
  <si>
    <t>58556671R0</t>
  </si>
  <si>
    <t>28350254</t>
  </si>
  <si>
    <t>000OKA-1</t>
  </si>
  <si>
    <t>000OKB-1</t>
  </si>
  <si>
    <t>000OKB-2</t>
  </si>
  <si>
    <t>000OKB-3</t>
  </si>
  <si>
    <t>000OKB-4</t>
  </si>
  <si>
    <t>000OKB-5</t>
  </si>
  <si>
    <t>000OKB-6</t>
  </si>
  <si>
    <t>000OKB-7</t>
  </si>
  <si>
    <t>000OKB-8</t>
  </si>
  <si>
    <t>000OKB-9</t>
  </si>
  <si>
    <t>000OKB-10</t>
  </si>
  <si>
    <t>000DVA-1VD</t>
  </si>
  <si>
    <t>000DVA-2VD</t>
  </si>
  <si>
    <t>000DVB-1VD</t>
  </si>
  <si>
    <t>000DVB-2VD</t>
  </si>
  <si>
    <t>000DVB-3VD</t>
  </si>
  <si>
    <t>000DVB-4VD</t>
  </si>
  <si>
    <t>000DVB-5VD</t>
  </si>
  <si>
    <t>000DVB-6VD</t>
  </si>
  <si>
    <t>000DVB-7VD</t>
  </si>
  <si>
    <t>5534451064R</t>
  </si>
  <si>
    <t>5534451031R</t>
  </si>
  <si>
    <t>5534451073R</t>
  </si>
  <si>
    <t>000VYA-1VD</t>
  </si>
  <si>
    <t>000VYA-2VD</t>
  </si>
  <si>
    <t>000VYB-1VD</t>
  </si>
  <si>
    <t>000VYB-2VD</t>
  </si>
  <si>
    <t>597813665</t>
  </si>
  <si>
    <t>60775374R1</t>
  </si>
  <si>
    <t>60775327R1</t>
  </si>
  <si>
    <t>60775317R1</t>
  </si>
  <si>
    <t>24592151</t>
  </si>
  <si>
    <t>000TRA-B012RVD</t>
  </si>
  <si>
    <t>02VRN</t>
  </si>
  <si>
    <t>020001VRN</t>
  </si>
  <si>
    <t>03VRN</t>
  </si>
  <si>
    <t>033002VRN</t>
  </si>
  <si>
    <t>100004212R01</t>
  </si>
  <si>
    <t>100004220R00</t>
  </si>
  <si>
    <t>964011211R01</t>
  </si>
  <si>
    <t>M46</t>
  </si>
  <si>
    <t>460600001RT2</t>
  </si>
  <si>
    <t>121101101R01</t>
  </si>
  <si>
    <t>122201401R00</t>
  </si>
  <si>
    <t>122201409R00</t>
  </si>
  <si>
    <t>174101102R00</t>
  </si>
  <si>
    <t>58330000.R</t>
  </si>
  <si>
    <t>58344199</t>
  </si>
  <si>
    <t>06VRN</t>
  </si>
  <si>
    <t>065002VRN</t>
  </si>
  <si>
    <t>Žďár nad Metují 141, 549 55 Žďár nad Metují</t>
  </si>
  <si>
    <t>Rozměry</t>
  </si>
  <si>
    <t>Stavební úpravy budov A a B</t>
  </si>
  <si>
    <t>Zpevňování hornin a konstrukcí</t>
  </si>
  <si>
    <t>Beztlaková krémová injektáž,zdiva cihel.tl.do 15cm</t>
  </si>
  <si>
    <t>Beztlaková krémová injektáž,zdiva cihel.tl.do 30cm</t>
  </si>
  <si>
    <t>Beztlaková krémová injektáž,zdiva cihel.tl.do 40cm</t>
  </si>
  <si>
    <t>Beztlaková krémová injektáž,zdiva cihel.tl.do 50cm</t>
  </si>
  <si>
    <t>Otlučení nebo odsekání omítek stěn</t>
  </si>
  <si>
    <t>Zdi podpěrné a volné</t>
  </si>
  <si>
    <t>Vyrovnání povrchu zdiva maltou tl.do 3 cm</t>
  </si>
  <si>
    <t>Zazdívka otvorů plochy do 1 m2 cihlami na MVC</t>
  </si>
  <si>
    <t>Zazdívka otvorů plochy do 4 m2 cihlami na MVC</t>
  </si>
  <si>
    <t>Lokální vyrovnání povrchu vnitř. ostění maltou tl.do 3 cm</t>
  </si>
  <si>
    <t>Vyrovnání povrchu vnitř. ostění maltou tl.do 3 cm</t>
  </si>
  <si>
    <t>Betonování nadzákladových zdí, bez vyztužení</t>
  </si>
  <si>
    <t>Beton nadzákladových zdí prostý C 25/30</t>
  </si>
  <si>
    <t>Bednění nadzákl.zdí,pohled.hl.,oboustranné-zřízení</t>
  </si>
  <si>
    <t>Bednění nadzákl.zdí,pohled.hl.,oboustr.-odstranění</t>
  </si>
  <si>
    <t>Zpětné usazení ocel. sloupků brány</t>
  </si>
  <si>
    <t>Stěny a příčky</t>
  </si>
  <si>
    <t>Podhled sádrokartonový na zavěšenou ocel. konstr.</t>
  </si>
  <si>
    <t>Omítky ze suchých směsí</t>
  </si>
  <si>
    <t>Difúzně otevřená tenkovrstvá omítka světlého odstínu</t>
  </si>
  <si>
    <t>Difúzně otevřená tenkovrstvá omítka světlého odstínu (ostění, nadpraží)</t>
  </si>
  <si>
    <t>Úprava povrchů vnitřní</t>
  </si>
  <si>
    <t>Demontáž a zpetná montáž podhledů - kazet</t>
  </si>
  <si>
    <t>Úprava povrchů vnější</t>
  </si>
  <si>
    <t>Oprava spárování cihelného zdiva stěn, pl. do 40 %</t>
  </si>
  <si>
    <t>Reprofilace beton.povrchů sanační maltou, tl. 5 mm</t>
  </si>
  <si>
    <t>Nátěr komínů hydrofóbizačním prostředkem</t>
  </si>
  <si>
    <t>Začišťovací okenní lišta s tkaninou</t>
  </si>
  <si>
    <t>Zakrývání výplní vnějších otvorů z lešení</t>
  </si>
  <si>
    <t>Montáž výztužné sítě (perlinky) do stěrky-podhledy</t>
  </si>
  <si>
    <t>Montáž výztužné sítě(perlinky)do stěrky-vněj.stěny</t>
  </si>
  <si>
    <t>včetně výztužné sítě a stěrkového tmelu</t>
  </si>
  <si>
    <t>Lokální omítnutí stropů jádrovou omítkou</t>
  </si>
  <si>
    <t>Oprava betonového povrchu cementovou maltou, tl.10 mm</t>
  </si>
  <si>
    <t>Montáž výztužné lišty okenní a podparapetní</t>
  </si>
  <si>
    <t>Založení zateplení stěn na dřevěnou lištu (bez zakl. lišty)</t>
  </si>
  <si>
    <t>Montáž rohové lišty s okapničkou</t>
  </si>
  <si>
    <t>Nátěr stěn vnějších vápenným nátěrem barevným</t>
  </si>
  <si>
    <t>Oprava a doplnění betonového stupně</t>
  </si>
  <si>
    <t>Očištění ocel.konstrukcí od usazenin, rzi a nátěru</t>
  </si>
  <si>
    <t>Podlahy a podlahové konstrukce</t>
  </si>
  <si>
    <t>Obrubník zahradní betonový výšky 200 mm, šedý</t>
  </si>
  <si>
    <t>Osazení zahradního betonového obrubníku</t>
  </si>
  <si>
    <t>Podklad pod okapový chodník ze štěrku tl.100 mm</t>
  </si>
  <si>
    <t>Okapový chodník - textilie proti prorůstání 150 g/m2</t>
  </si>
  <si>
    <t>Položení textilie proti prorůstání, okapový chodník</t>
  </si>
  <si>
    <t>Kačírek pro okapový chodník podél budovy tl. 50 mm</t>
  </si>
  <si>
    <t>Zřízení okapového chodníku, kačírek, tl. 50 mm</t>
  </si>
  <si>
    <t>Vybourání betonové mazaniny</t>
  </si>
  <si>
    <t>Výplně otvorů</t>
  </si>
  <si>
    <t>Osazení parapetních desek dřevotřískových š. do 50 cm</t>
  </si>
  <si>
    <t>Montáž oken plochy do 1,5 m2 do zdiva</t>
  </si>
  <si>
    <t>Montáž výztužné lišty rohové a dilatační</t>
  </si>
  <si>
    <t>Montáž oken plochy nad 1,5 m2 do zdiva</t>
  </si>
  <si>
    <t>Zřízení podkladu pod okapový chodník, štěrk, tl.100 mm</t>
  </si>
  <si>
    <t>Montáž dveří jednokřídlových</t>
  </si>
  <si>
    <t>Montáž dveří jednokřídlových se světlíkem</t>
  </si>
  <si>
    <t>Přesun plastového okna r. 1,25 m x 1,37 m</t>
  </si>
  <si>
    <t>Montáž dveří dvoukřídlových</t>
  </si>
  <si>
    <t>Přesun plastového okna r. 2,37 m x 1,45 m</t>
  </si>
  <si>
    <t>Izolace proti vodě</t>
  </si>
  <si>
    <t>Odstranění izolace proti vlhkosti, vodorovné, volně položené fólie</t>
  </si>
  <si>
    <t>Izolace střech (živičné krytiny)</t>
  </si>
  <si>
    <t>Provedení podkladního nátěru pod vodorovné asfaltové pásy, penetrační nátěr 1x, za studena</t>
  </si>
  <si>
    <t>Položení podkladního asfaltového izolačního pásu, natavením</t>
  </si>
  <si>
    <t>Provedení asfalt. hydroizolace ploché střechy</t>
  </si>
  <si>
    <t>Izolace tepelné</t>
  </si>
  <si>
    <t>Izolace minerální foukaná volně</t>
  </si>
  <si>
    <t>Montáž tepelné izolace stropů vrchem kladené volně, 2 vrstvy</t>
  </si>
  <si>
    <t>Montáž parozábrany krovů spodem s přelepením spojů</t>
  </si>
  <si>
    <t>Izolace tepelné stropů rovných spodem, lepením</t>
  </si>
  <si>
    <t>Montáž tepelné izolace stěn, lepením</t>
  </si>
  <si>
    <t>Montáž izolace na tmel a hmožd.4 ks/m2, pórobeton</t>
  </si>
  <si>
    <t>Montáž tepelné izolace vnějších stěn z cihel plných na tmel a hmoždinky 6 ks/m2</t>
  </si>
  <si>
    <t>Montáž tepelné izolace střech do tl.160 mm, kotvy, 1 vrstva</t>
  </si>
  <si>
    <t>Montáž spád. klínů na tepelnou izolace střech</t>
  </si>
  <si>
    <t>Vnitřní kanalizace</t>
  </si>
  <si>
    <t>Lapač střešních splavenin PP HL660 D 110 mm</t>
  </si>
  <si>
    <t>Vzduchotechnika</t>
  </si>
  <si>
    <t>Dodávka a montáž protidešť. žaluzie čtyřhranné do 0,45 m2</t>
  </si>
  <si>
    <t>Dodávka a montáž protidešť. žaluzie čtyřhranné do 0,15 m2</t>
  </si>
  <si>
    <t>Dodávka a montáž protidešť. žaluzie čtyřhranné do 0,3 m2</t>
  </si>
  <si>
    <t>Konstrukce tesařské</t>
  </si>
  <si>
    <t>Dodávka a montáž trámů hraněných pl. do 288 cm2</t>
  </si>
  <si>
    <t>Konstrukce klempířské</t>
  </si>
  <si>
    <t>Demontáž oplechování parapetů,rš od 100 do 330 mm</t>
  </si>
  <si>
    <t>Demontáž oplechování zdí,rš od 330 do 500 mm</t>
  </si>
  <si>
    <t>Demont. krytiny, tab. 2 x 0,67 m, do 25 m2, do 30°</t>
  </si>
  <si>
    <t>Demontáž háků, sklon do 30°</t>
  </si>
  <si>
    <t>Demontáž žlabů půlkruh. rovných, rš 330 mm, do 30°</t>
  </si>
  <si>
    <t>Demontáž odpadních trub kruhových,D 75 a 100 mm</t>
  </si>
  <si>
    <t>průměru 100 mm</t>
  </si>
  <si>
    <t>Dodávka a montáž oplechování parapetů z lakov. Pz plechu rš. do 470 mm</t>
  </si>
  <si>
    <t>rš do 470 mm</t>
  </si>
  <si>
    <t>Dodávka a montáž oplechování parapetů z lakov. Pz plechu rš. 330 mm</t>
  </si>
  <si>
    <t>rš 330 mm</t>
  </si>
  <si>
    <t>Dodávka a montáž kotlíku z lakov. Pz plechu kónický pro trouby D do 100 mm</t>
  </si>
  <si>
    <t>Dodávka a montáž háků lakovaný Pz půlkruhových</t>
  </si>
  <si>
    <t>Dodávka a montáž oplechování zdí - lakovaný Pz, rš 750 mm</t>
  </si>
  <si>
    <t>Dodávka a montáž oplechování okapů - lakovaný Pz, rš 200 mm</t>
  </si>
  <si>
    <t>Dodávka a montáž oplechování zdí, lakovaný Pz plech, rš 620 mm</t>
  </si>
  <si>
    <t>Zpětná montáž odpadních trub kruhových, D 75 mm</t>
  </si>
  <si>
    <t>Zpětná montáž odpadních trub z Pz plechu, kruhových, D 100 mm</t>
  </si>
  <si>
    <t>Dodávka a montáž oplechování stěny - lakovaný Pz, rš 300 mm</t>
  </si>
  <si>
    <t>Konstrukce doplňkové stavební (zámečnické)</t>
  </si>
  <si>
    <t>Úhelník ochranný nebo trubka s držáky do zdiva</t>
  </si>
  <si>
    <t>Treláž</t>
  </si>
  <si>
    <t>Pochozí parapet dveří</t>
  </si>
  <si>
    <t>Montáž vrat plochy do 15 m2</t>
  </si>
  <si>
    <t>Montáž vrat sekčních, elektrické ovládání</t>
  </si>
  <si>
    <t>Demontáž a zpětná montáž elektrické skříně</t>
  </si>
  <si>
    <t>Nástěnná mřížka technického zařízení budovy z nerezu</t>
  </si>
  <si>
    <t>Konstrukce truhlářské</t>
  </si>
  <si>
    <t>Montáž stropního výlezu</t>
  </si>
  <si>
    <t>Obklady (keramické)</t>
  </si>
  <si>
    <t>Obklad parapetu keramický šířka do 30 cm</t>
  </si>
  <si>
    <t>Obklad parapetu keramický šířka do 50 cm</t>
  </si>
  <si>
    <t>Nátěry</t>
  </si>
  <si>
    <t>Dodávka a montáž oplechování štítu sedlové střechy, lakovaný Pz plech, rš 300 mm</t>
  </si>
  <si>
    <t>Nátěr syntet. klempířských konstrukcí, Z + 2 x</t>
  </si>
  <si>
    <t>Nátěr syntetický dvojnásobný</t>
  </si>
  <si>
    <t>Dodávka a montáž čel žlabů lakov. Pz půlkruhových</t>
  </si>
  <si>
    <t>Malby</t>
  </si>
  <si>
    <t>Malba vnitř. ostění, penetrace 1x, malba bílá 2x</t>
  </si>
  <si>
    <t>Penetrace podkladu nátěrem 1x</t>
  </si>
  <si>
    <t>Malba protiplísňová,bílá, bez penetrace, 2 x</t>
  </si>
  <si>
    <t>Malba disperzní inter., výška do 3,8 m</t>
  </si>
  <si>
    <t>Zasklívání</t>
  </si>
  <si>
    <t>Vysklívání oken skla plochého o ploše do 1 m2</t>
  </si>
  <si>
    <t>Různé dokončovací konstrukce a práce inženýrských staveb</t>
  </si>
  <si>
    <t>Vyklizení podkroví</t>
  </si>
  <si>
    <t>Lešení a stavební výtahy</t>
  </si>
  <si>
    <t>Montáž lešení leh.řad.s podlahami,š.do 1 m, H 10 m</t>
  </si>
  <si>
    <t>Pronájem lešení za den</t>
  </si>
  <si>
    <t>Demontáž lešení leh.řad.s podlahami,š.1 m, H 10 m</t>
  </si>
  <si>
    <t>Montáž ochranné sítě z umělých vláken</t>
  </si>
  <si>
    <t>Příplatek za každý měsíc použití sítí k pol. 4011</t>
  </si>
  <si>
    <t>Montáž záchytné stříšky H 4,5 m, šířky do 2 m</t>
  </si>
  <si>
    <t>Montáž lešení prostorové lehké, do 200kg, H 10 m</t>
  </si>
  <si>
    <t>Příplatek za půdorysnou plochu do 6 m2</t>
  </si>
  <si>
    <t>Pronájem - příplatek za každý den používání prostorového lešení</t>
  </si>
  <si>
    <t>Demontáž ochranné sítě z umělých vláken</t>
  </si>
  <si>
    <t>Různé dokončovací konstrukce a práce na pozemních stavbách</t>
  </si>
  <si>
    <t>Vyčištění budov o výšce podlaží do 4 m</t>
  </si>
  <si>
    <t>Zametání v místnostech, chodbách, na  schodišti a na půdách</t>
  </si>
  <si>
    <t>Zakrytí a odkrytí podlah</t>
  </si>
  <si>
    <t>Bourání konstrukcí</t>
  </si>
  <si>
    <t>Bourání příček ze skleněných tvárnic tl. 10 cm</t>
  </si>
  <si>
    <t>Vybourání dřevěných rámů oken dvojitých pl. 2 m2</t>
  </si>
  <si>
    <t>Vybourání kovových rámů oken zdvojených pl. 1 m2</t>
  </si>
  <si>
    <t>Vybourání kovových rámů oken zdvojených pl. 4 m2</t>
  </si>
  <si>
    <t>Vybourání kovových dveřních zárubní pl. do 2 m2</t>
  </si>
  <si>
    <t>Vybourání kovových dveřních zárubní pl. nad 2 m2</t>
  </si>
  <si>
    <t>Vybourání dřevěných rámů vrat pl. nad 5 m2</t>
  </si>
  <si>
    <t>Vybourání kovových vrat plochy nad 5 m2</t>
  </si>
  <si>
    <t>Vyvěšení dřevěných okenních křídel pl. nad 1,5 m2</t>
  </si>
  <si>
    <t>Vyvěšení, zavěšení kovových křídel oken pl. 1,5 m2</t>
  </si>
  <si>
    <t>Vyvěšení, zavěšení kovových křídel dveří pl. 2 m2</t>
  </si>
  <si>
    <t>Vyvěšení dřevěných křídel vrat plochy nad 4 m2</t>
  </si>
  <si>
    <t>Vyvěšení, zavěšení kovových křídel vrat do 4 m2</t>
  </si>
  <si>
    <t>Vyvěšení, zavěšení kovových křídel vrat nad 4 m2</t>
  </si>
  <si>
    <t>Vyvěšení dřevěných dveřních křídel pl. do 2 m2</t>
  </si>
  <si>
    <t>Vybourání dřevěných deštění a obkladů výkladů</t>
  </si>
  <si>
    <t>Vybourání ocel. sloupku brány</t>
  </si>
  <si>
    <t>Prorážení otvorů a ostatní bourací práce</t>
  </si>
  <si>
    <t>Otlučení omítek vnitřních vápenných stropů do 10 %</t>
  </si>
  <si>
    <t>Vybourání otv. zeď cihel. do 0,0225 m2, pro osazení trámů</t>
  </si>
  <si>
    <t>Vybourání střešního souvrství tl. do 200 mm</t>
  </si>
  <si>
    <t>Budovy občanské výstavby</t>
  </si>
  <si>
    <t>Přesun hmot, budovy zděné, příplatek do 5 km</t>
  </si>
  <si>
    <t>Přesun hmot, budovy zděné, přípl. za dalších 5 km</t>
  </si>
  <si>
    <t>Přesun hmot pro budovy zděné výšky do 6 m</t>
  </si>
  <si>
    <t>Truhlářské konstrukce</t>
  </si>
  <si>
    <t>Pochozí lávka do podkroví</t>
  </si>
  <si>
    <t>Elektroinstalace</t>
  </si>
  <si>
    <t>Montáž LED svítidla (reflektoru)</t>
  </si>
  <si>
    <t>Montáž LED svítidla nástěnného vestavného s čidlem</t>
  </si>
  <si>
    <t>Nástěnné svítidlo - reflektor</t>
  </si>
  <si>
    <t>Svítidlo LED nástěnné</t>
  </si>
  <si>
    <t>Přesuny sutí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</si>
  <si>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</si>
  <si>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</si>
  <si>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</si>
  <si>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</si>
  <si>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Výkup kovů - železný šrot tl. do 4 mm</t>
  </si>
  <si>
    <t>Naložení a složení suti</t>
  </si>
  <si>
    <t>Poplatek za uložení suti - skleněné tvárnice</t>
  </si>
  <si>
    <t>Poplatek za likvidaci  - dřevo, dřevěné rámy</t>
  </si>
  <si>
    <t>Poplatek za uložení suti - asfaltové pásy, skupina odpadu 170302</t>
  </si>
  <si>
    <t>Poplatek za uložení směsi betonu a cihel skupina 170101 a 170102</t>
  </si>
  <si>
    <t>Ostatní</t>
  </si>
  <si>
    <t>Demontáž a zpětná montáž čidla</t>
  </si>
  <si>
    <t>Poštovní schránka</t>
  </si>
  <si>
    <t>Úprava zakončení technického zařízení budovy</t>
  </si>
  <si>
    <t>Demontáž a zpětná montáž svodu bleskosvodu</t>
  </si>
  <si>
    <t>Dodávka a montáž ochranného úhelníku hromosvodu délky 1700 mm z FeZn</t>
  </si>
  <si>
    <t>Demontáž a zpětná montáž informační destičky</t>
  </si>
  <si>
    <t>Číslo popisné "141"</t>
  </si>
  <si>
    <t>Demontáž a montáž rozvodu stlačeného vzduchu</t>
  </si>
  <si>
    <t>Demontáž drobných prvků z fasád BUDOVY A</t>
  </si>
  <si>
    <t>Demontáž drobných prvků z fasád BUDOVY B</t>
  </si>
  <si>
    <t>Kotvení hasícího přístroje</t>
  </si>
  <si>
    <t>Budka do zateplení pro rorýse jednokomorová</t>
  </si>
  <si>
    <t>Oprava vnitřní omítky po provedení chemické clony</t>
  </si>
  <si>
    <t>Oprava vnitřního obkladu po provedení chemické clony</t>
  </si>
  <si>
    <t>Nátěr betonových ploch</t>
  </si>
  <si>
    <t>Úprava vstupní brány I.</t>
  </si>
  <si>
    <t>Úprava vstupní brány II.</t>
  </si>
  <si>
    <t>Demontáž a zpětná montáž hydrometeorologické stanice</t>
  </si>
  <si>
    <t>Úprava zakrytí el. rozvodů</t>
  </si>
  <si>
    <t>Základy</t>
  </si>
  <si>
    <t>Betonování části podlah, schodů apod.</t>
  </si>
  <si>
    <t>Beton pro zákl. prahy a desky</t>
  </si>
  <si>
    <t>Ostatní materiál</t>
  </si>
  <si>
    <t>Deska izolační polystyrenová PERIMETER tl. 140 mm</t>
  </si>
  <si>
    <t>Deska izolační EPS open tl. 160 mm</t>
  </si>
  <si>
    <t>Deska izolační EPS open tl. 180 mm</t>
  </si>
  <si>
    <t>Deska fasádní EPS F 70 tl. 20 mm</t>
  </si>
  <si>
    <t>pro zateplení ostění otvorů</t>
  </si>
  <si>
    <t>Deska fasádní EPS F 70 tl. 50 mm</t>
  </si>
  <si>
    <t>Deska spádová EPS 100</t>
  </si>
  <si>
    <t>Deska fasádní minerální vlákno-podélné tl. 200 mm</t>
  </si>
  <si>
    <t>Deska izolační minerální tl. 160 mm</t>
  </si>
  <si>
    <t>Deska izolační minerální tl. 100 mm</t>
  </si>
  <si>
    <t>Lak asfaltový izolační</t>
  </si>
  <si>
    <t>Pás modifikovaný asfaltový (parozábrana)</t>
  </si>
  <si>
    <t>Deska fasádní minerální vlákno-podélné tl. 20 mm</t>
  </si>
  <si>
    <t>Profil rohový ETICS PVC se síťovinou, l=2500 mm</t>
  </si>
  <si>
    <t>Lepicí a stěrková hmota</t>
  </si>
  <si>
    <t>Zátka polystyrenová STR EPS plus d=65 mm, tl=15 mm</t>
  </si>
  <si>
    <t>Fólie těsnicí okenní vnitřní š. 70 mm</t>
  </si>
  <si>
    <t>Fólie těsnicí okenní vnější š. 250 mm</t>
  </si>
  <si>
    <t>Okno jednodílné OK A-1</t>
  </si>
  <si>
    <t>Okno trojdílné OK B-1</t>
  </si>
  <si>
    <t>Okno dvoudílné OK B-2</t>
  </si>
  <si>
    <t>Okno dvoudílné OK B-3</t>
  </si>
  <si>
    <t>Okno jednodílné OK B-4</t>
  </si>
  <si>
    <t>Okno dvoudílné OK B-5</t>
  </si>
  <si>
    <t>Okno jednodílné OK B-6</t>
  </si>
  <si>
    <t>Okno dvoudílné OK B-7</t>
  </si>
  <si>
    <t>Okno dvoudílné OK B-8</t>
  </si>
  <si>
    <t>Okno dvoudílné OK B-9</t>
  </si>
  <si>
    <t>Okno trojdílné OK B-10</t>
  </si>
  <si>
    <t>Dveře jednokřídlé DV A-1</t>
  </si>
  <si>
    <t>Dveře jednokřídlé DV A-2</t>
  </si>
  <si>
    <t>Dveře jednokřídlé DV B-1</t>
  </si>
  <si>
    <t>Dveře jednokřídlé DV B-2</t>
  </si>
  <si>
    <t>Dveře dvoukřídlé DV B-3</t>
  </si>
  <si>
    <t>Dveře jednokřídlé DV B-4</t>
  </si>
  <si>
    <t>Dveře jednokřídlé DVB-5</t>
  </si>
  <si>
    <t>Dveře jednokřídlé DV B-6</t>
  </si>
  <si>
    <t>Dveře dvoukřídlé se světlíkem DV B-7</t>
  </si>
  <si>
    <t>Sekční vrata VR B-1</t>
  </si>
  <si>
    <t>Dvoukřídlá vrata VR B-2</t>
  </si>
  <si>
    <t>Sekční vrata VR B-3</t>
  </si>
  <si>
    <t>Stropní výlez VY A-1</t>
  </si>
  <si>
    <t>Stropní výlez VY A-2</t>
  </si>
  <si>
    <t>Stropní výlez VY B-1</t>
  </si>
  <si>
    <t>Stropní výlez VY B-2</t>
  </si>
  <si>
    <t>Obklad keramický 200 mm x 200 mm</t>
  </si>
  <si>
    <t>Vnitřní okenní parapet dřevotřískový laminovaný š. 380 mm</t>
  </si>
  <si>
    <t>Vnitřní okenní parapet dřevotřískový laminovaný š. 500 mm</t>
  </si>
  <si>
    <t>Vnitřní okenní parapet dřevotřískový laminovaný š. 450 mm</t>
  </si>
  <si>
    <t>Penetrace základní vodou ředitelná  bal. 5 kg</t>
  </si>
  <si>
    <t>PVC krytky parapetů</t>
  </si>
  <si>
    <t>VORN - Vedlejší a ostatní rozpočtové náklady</t>
  </si>
  <si>
    <t>Příprava staveniště</t>
  </si>
  <si>
    <t>Zařízení staveniště</t>
  </si>
  <si>
    <t>Připojení na energie a jejich spotřeba</t>
  </si>
  <si>
    <t>Zemní práce</t>
  </si>
  <si>
    <t>Hutnění sypaniny vrstvy tl. do 60 cm, 1 pojezd</t>
  </si>
  <si>
    <t>Hutnění sypaniny kolem objektu, jeden pojezd</t>
  </si>
  <si>
    <t>Vybourání ŽB panelu komunikace</t>
  </si>
  <si>
    <t>Zemní práce při montážích</t>
  </si>
  <si>
    <t>Naložení a odvoz zeminy</t>
  </si>
  <si>
    <t>odvoz na vzdálenost 1000 m</t>
  </si>
  <si>
    <t>Odkopávky a prokopávky</t>
  </si>
  <si>
    <t>Sejmutí zeminy s přemístěním do 50 m</t>
  </si>
  <si>
    <t>Vykopávky v zemníku v hor. 3 do 100 m3</t>
  </si>
  <si>
    <t>Příplatek za lepivost-výkopávky</t>
  </si>
  <si>
    <t>Konstrukce ze zemin</t>
  </si>
  <si>
    <t>Zásyp ruční se zhutněním</t>
  </si>
  <si>
    <t>Písek 0-4</t>
  </si>
  <si>
    <t>Štěrkodrtě frakce 0-63 C</t>
  </si>
  <si>
    <t>Územní vlivy</t>
  </si>
  <si>
    <t>Mimostaveništní doprava</t>
  </si>
  <si>
    <t>Doba výstavby:</t>
  </si>
  <si>
    <t>Začátek výstavby:</t>
  </si>
  <si>
    <t>Konec výstavby:</t>
  </si>
  <si>
    <t>Zpracováno dne:</t>
  </si>
  <si>
    <t>MJ</t>
  </si>
  <si>
    <t>m</t>
  </si>
  <si>
    <t>m2</t>
  </si>
  <si>
    <t>m3</t>
  </si>
  <si>
    <t>ks</t>
  </si>
  <si>
    <t>kus</t>
  </si>
  <si>
    <t>t</t>
  </si>
  <si>
    <t>kpl</t>
  </si>
  <si>
    <t>kg</t>
  </si>
  <si>
    <t>ka</t>
  </si>
  <si>
    <t>Soubor</t>
  </si>
  <si>
    <t>Množství</t>
  </si>
  <si>
    <t>01.02.2023</t>
  </si>
  <si>
    <t>19.09.2022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</si>
  <si>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</si>
  <si>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</si>
  <si>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</si>
  <si>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</si>
  <si>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</si>
  <si>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</si>
  <si>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</si>
  <si>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</si>
  <si>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 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</si>
  <si>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</si>
  <si>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</si>
  <si>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</si>
  <si>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</si>
  <si>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</si>
  <si>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</si>
  <si>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</si>
  <si>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</si>
  <si>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</si>
  <si>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</si>
  <si>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</si>
  <si>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</si>
  <si>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</si>
  <si>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</si>
  <si>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28_</t>
  </si>
  <si>
    <t>31_</t>
  </si>
  <si>
    <t>34_</t>
  </si>
  <si>
    <t>60_</t>
  </si>
  <si>
    <t>61_</t>
  </si>
  <si>
    <t>62_</t>
  </si>
  <si>
    <t>63_</t>
  </si>
  <si>
    <t>64_</t>
  </si>
  <si>
    <t>711_</t>
  </si>
  <si>
    <t>712_</t>
  </si>
  <si>
    <t>713_</t>
  </si>
  <si>
    <t>721_</t>
  </si>
  <si>
    <t>728_</t>
  </si>
  <si>
    <t>762_</t>
  </si>
  <si>
    <t>764_</t>
  </si>
  <si>
    <t>767_</t>
  </si>
  <si>
    <t>766_</t>
  </si>
  <si>
    <t>781_</t>
  </si>
  <si>
    <t>783_</t>
  </si>
  <si>
    <t>784_</t>
  </si>
  <si>
    <t>787_</t>
  </si>
  <si>
    <t>93_</t>
  </si>
  <si>
    <t>94_</t>
  </si>
  <si>
    <t>95_</t>
  </si>
  <si>
    <t>96_</t>
  </si>
  <si>
    <t>97_</t>
  </si>
  <si>
    <t>H01_</t>
  </si>
  <si>
    <t>M121VD_</t>
  </si>
  <si>
    <t>M65_</t>
  </si>
  <si>
    <t>S_</t>
  </si>
  <si>
    <t>111VD_</t>
  </si>
  <si>
    <t>27_</t>
  </si>
  <si>
    <t>Z99999_</t>
  </si>
  <si>
    <t>02VRN_</t>
  </si>
  <si>
    <t>03VRN_</t>
  </si>
  <si>
    <t>1_</t>
  </si>
  <si>
    <t>M46_</t>
  </si>
  <si>
    <t>12_</t>
  </si>
  <si>
    <t>17_</t>
  </si>
  <si>
    <t>06VRN_</t>
  </si>
  <si>
    <t>01_2_</t>
  </si>
  <si>
    <t>01_3_</t>
  </si>
  <si>
    <t>01_6_</t>
  </si>
  <si>
    <t>01_71_</t>
  </si>
  <si>
    <t>01_72_</t>
  </si>
  <si>
    <t>01_76_</t>
  </si>
  <si>
    <t>01_78_</t>
  </si>
  <si>
    <t>01_9_</t>
  </si>
  <si>
    <t>01_1_</t>
  </si>
  <si>
    <t>01_Z_</t>
  </si>
  <si>
    <t>01_ _</t>
  </si>
  <si>
    <t>02_1_</t>
  </si>
  <si>
    <t>02_9_</t>
  </si>
  <si>
    <t>02_Z_</t>
  </si>
  <si>
    <t>02_ _</t>
  </si>
  <si>
    <t>01_</t>
  </si>
  <si>
    <t>02_</t>
  </si>
  <si>
    <t>100003</t>
  </si>
  <si>
    <t>100019</t>
  </si>
  <si>
    <t>MAT</t>
  </si>
  <si>
    <t>WORK</t>
  </si>
  <si>
    <t>CELK</t>
  </si>
  <si>
    <t>ISWORK</t>
  </si>
  <si>
    <t>P</t>
  </si>
  <si>
    <t>M</t>
  </si>
  <si>
    <t>GROUPCODE</t>
  </si>
  <si>
    <t>strop SR02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</si>
  <si>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</si>
  <si>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</si>
  <si>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</si>
  <si>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</si>
  <si>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</si>
  <si>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</si>
  <si>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</si>
  <si>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</si>
  <si>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</si>
  <si>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</si>
  <si>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</si>
  <si>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</si>
  <si>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</si>
  <si>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</si>
  <si>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 v nákladové ceně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</si>
  <si>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</si>
  <si>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</si>
  <si>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</si>
  <si>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</si>
  <si>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</si>
  <si>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</si>
  <si>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</si>
  <si>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</si>
  <si>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</si>
  <si>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</si>
  <si>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</si>
  <si>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</si>
  <si>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</si>
  <si>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</si>
  <si>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</si>
  <si>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</si>
  <si>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</si>
  <si>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</si>
  <si>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</si>
  <si>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</si>
  <si>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</si>
  <si>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</si>
  <si>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</si>
  <si>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</si>
  <si>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</si>
  <si>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ZEMĚDĚLSKÉ DRUŽSTVO OSTAŠ  - STAVEBNÍ ÚPRAVY</t>
  </si>
  <si>
    <t>STAVEBNÍ ÚPRAVY</t>
  </si>
  <si>
    <t>komentář:</t>
  </si>
  <si>
    <t>Vyrovnání zdiva pod omítku maltou tl. 20 až 50 mm</t>
  </si>
  <si>
    <t>položky 12 až 15 se vztahují k nadbetonování atiky u střechy s 01</t>
  </si>
  <si>
    <t>Položka je určena pro podhled sádrokartonový na zavěšenou ocelovou konstrukci, z desek tl. 15 mm do vlhka. V položce jsou zakalkulovány náklady na zřízení nosné konstrukce podhledu, dodávku a montáž desek tl. 15 mm do vlhka včetně úpravy spár a rohů. V položce není zakalkulována povrchová úprava podhledu.</t>
  </si>
  <si>
    <t>Zábradlí nerezové. s osazením do bet.bloků, ze 2 trubek</t>
  </si>
  <si>
    <t>zábradlí ZK B-02 (pohled viz. řez C-C)</t>
  </si>
  <si>
    <t>Štuk na stěnách vnitřní, ručně tl. 2 - 4 mm</t>
  </si>
  <si>
    <t>Omítka ze suché směsi, vhodná pro vnitřní použití. Položka je kalkulována jako jedna z vrstev omítkové skladby. Položky za jednotlivé požadované vrstvy se sčítají.</t>
  </si>
  <si>
    <t>Začišťovací okenní lišta pro vnitř.omítku</t>
  </si>
  <si>
    <t>spárovací maltou s vlákny, šířka spáry 10 mm a hloubka 20 mm - režné zdivo komínů</t>
  </si>
  <si>
    <t>620991121T01</t>
  </si>
  <si>
    <t>Zakrývání výplní vnitřních otvorů folií vč. dodávky fólie</t>
  </si>
  <si>
    <t>610991111R01</t>
  </si>
  <si>
    <t>varianta:</t>
  </si>
  <si>
    <t>položka je určena pro lokální opravy betonových povrchů - hlavic komínů</t>
  </si>
  <si>
    <t>zakrývání výplní vnějších otvorů s rámy a zárubněmi, zábradlí, předmětů, oplechování apod., která se zřizují ještě před úpravami povrchu, před jejich znečištěním při úpravách povrchu nástřikem plastických (lepivých) maltovin, prováděné z lešení. Položka je určena pro zakrývání jakýmkoliv způsobem.Vč. dodávky fólie.</t>
  </si>
  <si>
    <t>položka obsahuje natažení stěrkového tmelu, vtlačení výztužné sítě a rozetření tmelu - strop SR 04</t>
  </si>
  <si>
    <t>položka obsahuje natažení stěrkového tmelu, vtlačení výztužné sítě a rozetření tmelu.</t>
  </si>
  <si>
    <t>položka obsahuje natažení stěrkového tmelu, vtlačení výztužné sítě a rozetření tmelu - stěny ST 01, ST 01a, ST 02, I-ST01</t>
  </si>
  <si>
    <t>Montáž výztužné sítě(perlinky) do stěrky-vnějš. ostění</t>
  </si>
  <si>
    <t>oprava stropu SR 04 před zateplením</t>
  </si>
  <si>
    <t>621412211R01</t>
  </si>
  <si>
    <t>Nátěr dřevěných podhledů vnějších (2x)</t>
  </si>
  <si>
    <t>dvojitý nátěr dřevěných částí podhledů střech vč. obroušení nesoudr. vrtev X A-6 a X B-16</t>
  </si>
  <si>
    <t>Dilatační profil KZS rohový V</t>
  </si>
  <si>
    <t>622311113R01</t>
  </si>
  <si>
    <t>622311111R01</t>
  </si>
  <si>
    <t>položka je určena pro lokální opravy betonových povrchů - strop SR 04</t>
  </si>
  <si>
    <t>položka obsahuje natažení vtlačení výztužné lišty a rozetření tmelu, položka neobsahuje dodávku tmelu ani lišty.</t>
  </si>
  <si>
    <t>popis založení viz. D.1.1 TECHNICKÁ ZPRÁVA</t>
  </si>
  <si>
    <t>35 a 36 - dodávka a montáž</t>
  </si>
  <si>
    <t>v položce jsou zakalkulovány náklady na dodávku a montáž rohové lišty s okapničkou - plast + tkanina</t>
  </si>
  <si>
    <t>položka je určena pro lokální opravy betonových povrchů</t>
  </si>
  <si>
    <t>Zkosení tepelné izolace ostění u rámů dveří a vrat</t>
  </si>
  <si>
    <t>zkosení je patrné z výkresů projektové dokumentace</t>
  </si>
  <si>
    <t>stávající prvky fasád a brány</t>
  </si>
  <si>
    <t>provedení penetrace podkladů</t>
  </si>
  <si>
    <t>tloušťka okolo 10 cm</t>
  </si>
  <si>
    <t>položka je určena pro osazování parapetních desek dřevotřískových na nízkoexpanzní montážní pěnu, těsnění spáry mezi parapetem a rámem okna transpatentním silikonem a montáž PVC krytek. V položce nejsou zakalkulovány náklady na dodávku desek a PVC krytek</t>
  </si>
  <si>
    <t>osazení okenního rámu a křídla vč. vyplnění připojovací spáry montážní pěnou a nalepení vnitřní a vnější pásky, které jsou vykázány samostatně</t>
  </si>
  <si>
    <t>položka obsahuje natažení vtlačení výztužné lišty a rozetření tmelu, položka neobsahuje dodávku tmelu ani lišty</t>
  </si>
  <si>
    <t>osazení dveřního rámu a křídla vč. vyplnění připojovací spáry montážní pěnou a nalepení vnitřní a vnější pásky, které jsou vykázány samostatně</t>
  </si>
  <si>
    <t>přesun plastového okna r. 1,25 m x 1,37 m k vnějšímu lící zdiva vč. nových podkladních profilů a zakrytí prosklení - atypická montáž, vč. dodávky nových podkladních profilů</t>
  </si>
  <si>
    <t>osazení dveřního rámu a křídel vč. vyplnění připojovací spáry montážní pěnou a nalepení vnitřní a vnější pásky, které jsou vykázány samostatně</t>
  </si>
  <si>
    <t>přesun plastového okna r. 2,37 m x 1,45 m k vnějšímu lící zdiva vč. nových podkladních profilů a zakrytí prosklení - atypická montáž, vč. dodávky nových podkladních profilů</t>
  </si>
  <si>
    <t>lepenka, kterou je přikryta stávající tepelná izolace stropů SR 05 a SR 06</t>
  </si>
  <si>
    <t>711111005T01</t>
  </si>
  <si>
    <t xml:space="preserve">izolace foukaná do volného prostoru, položka obsahuje náklady na dodávku a aplikaci materiálu, strop SR 05 a strop SR 06 </t>
  </si>
  <si>
    <t>v položce není zakalkulována dodávka izolačního materiálu, strop SR 03</t>
  </si>
  <si>
    <t>položka je určena pro montáž fólie na konstrukce krovů spodem, s přelepením spojů, s dodávkou parotěsné zábrany, strop SR 03</t>
  </si>
  <si>
    <t>V položce není zakalkulována dodávka izolačního materiálu, strop SR 04</t>
  </si>
  <si>
    <t>položka je určena pro montáž tepelné izolace střech z desek, na plný podklad připevněním pomocí kotev, v položce není zakalkulována dodávka izolačního materiálu, tato dodávka se oceňuje ve specifikaci, střecha S 01</t>
  </si>
  <si>
    <t>položka je určena pro montáž tepelné izolace střech z desek, na plný podklad připevněním pomocí kotev a lepením, v položce není zakalkulována dodávka izolačního materiálu</t>
  </si>
  <si>
    <t xml:space="preserve">Montáž plastového lapače střešních splavenin </t>
  </si>
  <si>
    <t>s košem pro zachytávání nečistot, suchá nezámrzná a pachonepropustná klapka, jednoduché vylamovací kroužky pro svody průměru 75, 100 a 110 mm, prvek X B-8</t>
  </si>
  <si>
    <t>prvek ZK B-7</t>
  </si>
  <si>
    <t>prvek ZK A-7 a ZK B-1</t>
  </si>
  <si>
    <t>prvek ZK B-6</t>
  </si>
  <si>
    <t>prvek ZK B-3</t>
  </si>
  <si>
    <t>včetně dodávky řeziva, hranoly 10/16 s impregnací (třída ohrožení 2)</t>
  </si>
  <si>
    <t>dodávka a montáž oplechování parapetů z lakov. Pz plechu, ukončení oplechování při zateplených ostění s ohybem o 90 st.montovaných před provedením tenkovr. omítky</t>
  </si>
  <si>
    <t>položka je kalkulována pro oplechování zdí a nadezdívek včetně rohů</t>
  </si>
  <si>
    <t>položka je určena pro dodávku a montáž hotových (předvyrobených nebo nakoupených) prvků</t>
  </si>
  <si>
    <t>položka je kalkulována pro oplechování zdí a nadezdívek včetně rohů.</t>
  </si>
  <si>
    <t>po zateplení stěn budovy B a provedení nátěrů svodů</t>
  </si>
  <si>
    <t>Zpětná montáž žlabů z Pz plechu podokapních kruhových</t>
  </si>
  <si>
    <t>Dodávka a montáž objímky truby pr. do 100 mm z lakov. Pz + trn do zatepl. systému tl. 190 mm</t>
  </si>
  <si>
    <t>Odpadní trouby z lakov. Pz plechu kruhové</t>
  </si>
  <si>
    <t>Zkrácený popis / varianta</t>
  </si>
  <si>
    <t>Dodávka a montáž žlabů lakovaný Pz podokapních půlkruhových r.š. 330 mm</t>
  </si>
  <si>
    <t>po zateplení stěn budovy B a provedení nátěrů žlabů</t>
  </si>
  <si>
    <t>dodávka a montáž, ZK B-14</t>
  </si>
  <si>
    <t>dodávka a montáž, ZK B-4, okótovaný pohled na treláž je součástí výkresové dokumentace</t>
  </si>
  <si>
    <t>dodávka a montáž, ZK B-9</t>
  </si>
  <si>
    <t>položka obsahuje montáž sekčních vrat na elektrické ovládání bez dodávky vrat a ovládání</t>
  </si>
  <si>
    <t>popis viz. projektová dokumentace.ZK A-9 a ZK A-10</t>
  </si>
  <si>
    <t>položka obsahuje montáž stropního výlezu, bez dodávky výlezu, podrobný popis viz. projektová dokumentace</t>
  </si>
  <si>
    <t>vč. spárování, bez dodávky obkladu</t>
  </si>
  <si>
    <t>pro nátěr čerstvého i zoxidovaného pozinkovaného plechu : - 1 x základ barva syntetická na kov syntetická, alkydová; S 2003; základová; antikorozní; - 2 x email syntetický na kov syntetický</t>
  </si>
  <si>
    <t>pro obnovu záměčnických prvků a vjezdových bran</t>
  </si>
  <si>
    <t>sádrokarton stropu SR 03</t>
  </si>
  <si>
    <t>vnitřní ostění otvorových výplní</t>
  </si>
  <si>
    <t>kotelna</t>
  </si>
  <si>
    <t>demontovaná okna</t>
  </si>
  <si>
    <t>nad stropem SR 01, drobné předměty</t>
  </si>
  <si>
    <t>v položce jsou zakalkulovány i náklady na kotvení lešení</t>
  </si>
  <si>
    <t>v ceně půjčovného lešení je zahrnuto také protokolární předání a převzetí lešení a veškeré revize stavu lešení, uvažováno 30 dní trvání stavby</t>
  </si>
  <si>
    <t>pro zpřístupnění podkroví stropu SR 05</t>
  </si>
  <si>
    <t>uvažováno 10 dní trvání stavby</t>
  </si>
  <si>
    <t>Demontáž lešení, prostor.</t>
  </si>
  <si>
    <t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užívání, jde o prostory budovy A a čisté prostory budovy B - kanceláře, archiv, zázemí.</t>
  </si>
  <si>
    <t>pro montáž otvorových výplní a systému vytápění</t>
  </si>
  <si>
    <t>v položce není kalkulována manipulace se sutí, která se oceňuje samostatně</t>
  </si>
  <si>
    <t>v položce není kalkulována manipulace se sutí, která se oceňuje samostatně, v položce není zakalkulováno vyvěšení křídel, položka se používá pro okna dvojitá nebo zdvojená</t>
  </si>
  <si>
    <t>v položce není kalkulována manipulace se sutí, která se oceňuje samostatně položkami souboru, v položce není zakalkulováno vyvěšení křídel</t>
  </si>
  <si>
    <t>v položce není kalkulována manipulace se sutí, v položce není zakalkulováno vyvěšení křídel</t>
  </si>
  <si>
    <t>v položce není kalkulována manipulace se sutí, v položce není zakalkulováno vyvěšení dveřních křídel</t>
  </si>
  <si>
    <t>v položce není kalkulována manipulace se sutí, v položce není zakalkulováno vyvěšení  křídel vrat</t>
  </si>
  <si>
    <t>položky 146 až 152 se týkají stávajících otvorových výplní, které se zlikvidují</t>
  </si>
  <si>
    <t>stávající obložení vnějších stěn budovy B</t>
  </si>
  <si>
    <t>stávající střešní souvrství střechy S 01</t>
  </si>
  <si>
    <t>položka je určena za zvětšený přesun přes vymezenou největší dopravní vzdálenost</t>
  </si>
  <si>
    <t>podrobný popis viz. projektová dokumentace</t>
  </si>
  <si>
    <t>Poplatek za uložení suti - sklo</t>
  </si>
  <si>
    <t>X A-1</t>
  </si>
  <si>
    <t>X A-2, X A-3, X B-3, X B-4, X B-5, X B-6</t>
  </si>
  <si>
    <t>X A-7</t>
  </si>
  <si>
    <t>X A-5, X B-10, X B-12 a X B-13</t>
  </si>
  <si>
    <t>vč. nátěrů a kotvení</t>
  </si>
  <si>
    <t>X A-4, X B-2 a X B-3</t>
  </si>
  <si>
    <t>X B-1</t>
  </si>
  <si>
    <t>X B-9</t>
  </si>
  <si>
    <t>vč. kotvení</t>
  </si>
  <si>
    <t>popis viz. projektová dokumentace</t>
  </si>
  <si>
    <t>ZE A-8 atd.</t>
  </si>
  <si>
    <t>ZE A-9</t>
  </si>
  <si>
    <t>ZK</t>
  </si>
  <si>
    <t>ZK A-8</t>
  </si>
  <si>
    <t>ZK B-13</t>
  </si>
  <si>
    <t>ZK A-3, ZK A-6, ZK B-12</t>
  </si>
  <si>
    <t>drobné betonářské práce</t>
  </si>
  <si>
    <t>podrobný popis položek 219 až 245  viz. projektová dokumentace</t>
  </si>
  <si>
    <t>glazované keramické obkladové prvky pro parapety do pracovního (výrobního) prostředí</t>
  </si>
  <si>
    <t>položka obsahuje vápenný nátěr ve dvou vrstvách, sokly F 02</t>
  </si>
  <si>
    <t>v položce není zakalkulována dodávka materiálu, týká se konstrukcí před zateplením a před provedením tenkovrstvé omítky dle projektové dokumentace</t>
  </si>
  <si>
    <t>Izolační desky s uzavřenou strukturou povrchu určené pro izolace vnějších stěn v přímém styku se zeminou, další požadavky viz. skladba F 02, části D.1.2 projektové dokumentace</t>
  </si>
  <si>
    <t xml:space="preserve">stabilizované fasádní desky z lehčeného bílého polystyrenu se sníženou hořlavostí a mimořádnou paropropustností. Vysoce paropropustné tepelně izolační fasádní desky se sníženou hořlavostí, rozměrově přesné, tvarově stálé, odolné proti stárnutí. Optimalizovaná síť otvorů procházejících celou tloušťkou desky výrazně zrychluje vysychání novostaveb a podstatně snižuje riziko kondenzace vlhkosti v obvodových stěnách, další požadavky viz. skladba F 01a, části D.1.2 projektové dokumentace. </t>
  </si>
  <si>
    <t xml:space="preserve">stabilizované fasádní desky z lehčeného bílého polystyrenu se sníženou hořlavostí a mimořádnou paropropustností. Vysoce paropropustné tepelně izolační fasádní desky se sníženou hořlavostí, rozměrově přesné, tvarově stálé, odolné proti stárnutí. Optimalizovaná síť otvorů procházejících celou tloušťkou desky výrazně zrychluje vysychání novostaveb a podstatně snižuje riziko kondenzace vlhkosti v obvodových stěnách, další požadavky viz. skladba F 01, části D.1.2 projektové dokumentace. </t>
  </si>
  <si>
    <t xml:space="preserve">požadavky viz. skladba SR 04, části D.1.2 projektové dokumentace. </t>
  </si>
  <si>
    <t xml:space="preserve">požadavky viz. skladba SR 02 a SR 03, části D.1.2 projektové dokumentace. </t>
  </si>
  <si>
    <t>k penetraci suchých a očištěných podkladů pod asfaltové izolační krytiny a izolace</t>
  </si>
  <si>
    <t>požadavky viz. skladba S 01, části D.1.2 projektové dokumentace</t>
  </si>
  <si>
    <t>pás hydroizolační z modifikovaného asfaltu vložka nosná, další požadavky viz. skladba S 01, části D.1.2 projektové dokumentace</t>
  </si>
  <si>
    <t>Pás modif. asfalt  (hydroizolace)</t>
  </si>
  <si>
    <t>pro průvlak u stropu SR 04</t>
  </si>
  <si>
    <t>1 ks rohová lišta PVC, integrovaná síťovina odolná vůči alkálii, 100/150 mm, l = 2500 mm</t>
  </si>
  <si>
    <t>lišta s okapničkou z plastu se síťovinou navařenou ultrazvukem pro začištění omítky a svod vody</t>
  </si>
  <si>
    <t>paropropustná lepicí hmota na bázi cementu určená především k lepení a stěrkování (armovací vrstva) fasádních izolačních desek.</t>
  </si>
  <si>
    <t>polystyrenová zátka STR EPS, polystyrenová zátka pro zakrytí talířových hmoždinek STR U v polystyrenových izolačních deskách, lehce kónický kruhový okraj pro bezpečné upevnění v izolantu, průměr zátky 65 mm, tloušťka 15 mm</t>
  </si>
  <si>
    <t>Deska izolační stabilizov. EPS 100 tl. 140  mm</t>
  </si>
  <si>
    <t>28375704R</t>
  </si>
  <si>
    <t xml:space="preserve">požadavky viz. skladba S 01 části D.1.2 projektové dokumentace. </t>
  </si>
  <si>
    <t>těsnící fólie vnitřní š. 70 mm, dl. 25 m  Pro vnitřní (interiérové) parotěsné utěsnění připojovací spáry</t>
  </si>
  <si>
    <t>těsnící fólie vnější š. 250 mm, dl. 25 m  Pro vnější (exteriérové) paropropustné utěsnění připojovací spáry UV-stabilita 6 měsíců  Fólie zajistí ochranu proti zatékání celého systému upevnění</t>
  </si>
  <si>
    <t>31195108R</t>
  </si>
  <si>
    <t>Kotva pro zateplovací systém tl. do 200 mm (plná cihla, pórobeton)</t>
  </si>
  <si>
    <t>kotva i s hmoždinou,  vrtací průměr 8 mm</t>
  </si>
  <si>
    <t>bez izolačního pásu, který je vykázán samostatně</t>
  </si>
  <si>
    <t>střecha S 01 - položka neobsahuje dodávku hydroizolace</t>
  </si>
  <si>
    <t>střecha S 01, bez dodávky materiálu</t>
  </si>
  <si>
    <t>podklad porobeton, položka obsahuje: očištění povrchu stěny od prachu, nařezání izolačních desek na požadovaný rozměr, nanesení lepicího tmelu, osazení desek, vyvrtání otvorů, montáž hmoždinek, zatření hmoždinek lepicím tmelem, v položce není zakalkulována dodávka lepicího tmele, hmoždinek a izolačního materiálu, vnitřní stěna I-ST01</t>
  </si>
  <si>
    <t>podklad plná cihla, položka obsahuje: očištění povrchu stěny od prachu, nařezání izolačních desek na požadovaný rozměr, nanesení lepicího tmelu, osazení desek, vyvrtání otvorů, montáž hmoždinek, zatření hmoždinek lepicím tmelem, v položce není zakalkulována dodávka lepicího tmele, hmoždinek a izolačního materiálu, stěny F 01 a F 01a</t>
  </si>
  <si>
    <t>v položce je zakalkulováno očištění povrchu stěny od prachu, nařezání izolačních desek na požadovaný rozměr, nanesení lepicího tmelu a osazení desek, v položce není zakalkulována dodávka lepícího tmele, izolačního materiálu, sokly F 02 a vnitřní stěna I-ST01</t>
  </si>
  <si>
    <t>28355390R</t>
  </si>
  <si>
    <t>28355391R</t>
  </si>
  <si>
    <t>bližší popis položek 12 až 15 viz. projektová dokumentace  D.1.2 SKLADBY KONSTRUKCÍ, vč. dodávky materiálu</t>
  </si>
  <si>
    <t>položky 46 až 52 a 59 se týkají zřízení okapového chodníku u budovy A - položka ZE A-5</t>
  </si>
  <si>
    <t>Zbyněk Chmela et al.</t>
  </si>
  <si>
    <t>Stavební práce mimo budovy - zemní práce kanálu mezi budovami A a B</t>
  </si>
  <si>
    <t>03</t>
  </si>
  <si>
    <t xml:space="preserve">Práce a dodávky HSV   </t>
  </si>
  <si>
    <t xml:space="preserve">Svislé a kompletní konstrukce   </t>
  </si>
  <si>
    <t>310236251R</t>
  </si>
  <si>
    <t xml:space="preserve">Vybourání a zazdívka otvorů pl do 0,09 m2 ve zdivu nadzákladovém tl do 450 mm - prostupy do teplovodu   </t>
  </si>
  <si>
    <t>soubor</t>
  </si>
  <si>
    <t xml:space="preserve">Ostatní konstrukce a práce, bourání   </t>
  </si>
  <si>
    <t>953845119R</t>
  </si>
  <si>
    <t>953845124R</t>
  </si>
  <si>
    <t xml:space="preserve">Příplatek k vyvložkování komínového průduchu nerezovými vložkami pevnými D do 200 mm ZKD 1m výšky   </t>
  </si>
  <si>
    <t>971024561R</t>
  </si>
  <si>
    <t>974031167R</t>
  </si>
  <si>
    <t xml:space="preserve">Vysekání rýh ve zdivu cihelném hl do 150 mm š do 300 mm pro teplovod   </t>
  </si>
  <si>
    <t>997</t>
  </si>
  <si>
    <t xml:space="preserve">Přesun sutě   </t>
  </si>
  <si>
    <t xml:space="preserve">Izolace tepelné   </t>
  </si>
  <si>
    <t>713311221</t>
  </si>
  <si>
    <t xml:space="preserve">Montáž izolace tepelné těles plocha tvarová 1x pásy s Al fólií   </t>
  </si>
  <si>
    <t>63141783R</t>
  </si>
  <si>
    <t>713411121</t>
  </si>
  <si>
    <t>63151671</t>
  </si>
  <si>
    <t>731</t>
  </si>
  <si>
    <t xml:space="preserve">Ústřední vytápění - kotelny   </t>
  </si>
  <si>
    <t>731100817</t>
  </si>
  <si>
    <t xml:space="preserve">Demontáž kotle litinového Eterna I, II, Tertia, Vesuv nebo Série II 10 článků   </t>
  </si>
  <si>
    <t>731219617R</t>
  </si>
  <si>
    <t xml:space="preserve">Montáž kotle ocelového stacionárního na tuhá paliva s odtahem spalin do komína o výkonu do 60 kW   </t>
  </si>
  <si>
    <t>48410327R</t>
  </si>
  <si>
    <t>731391813</t>
  </si>
  <si>
    <t xml:space="preserve">Vypuštění vody z kotle samospádem plocha kotle do 20 m2   </t>
  </si>
  <si>
    <t>732</t>
  </si>
  <si>
    <t xml:space="preserve">Ústřední vytápění - strojovny   </t>
  </si>
  <si>
    <t>732110811</t>
  </si>
  <si>
    <t xml:space="preserve">Demontáž rozdělovače nebo sběrače do DN 100   </t>
  </si>
  <si>
    <t>732111128R</t>
  </si>
  <si>
    <t xml:space="preserve">Tělesa rozdělovačů a sběračů R+S kombi pro 6m3/h - l=2400 mm   </t>
  </si>
  <si>
    <t>732111312</t>
  </si>
  <si>
    <t xml:space="preserve">Trubková hrdla rozdělovačů a sběračů bez přírub DN 15   </t>
  </si>
  <si>
    <t>732111314</t>
  </si>
  <si>
    <t xml:space="preserve">Trubková hrdla rozdělovačů a sběračů bez přírub DN 25   </t>
  </si>
  <si>
    <t>732111316</t>
  </si>
  <si>
    <t xml:space="preserve">Trubková hrdla rozdělovačů a sběračů bez přírub DN 40   </t>
  </si>
  <si>
    <t>732199100</t>
  </si>
  <si>
    <t xml:space="preserve">Montáž orientačních štítků   </t>
  </si>
  <si>
    <t>732231103R</t>
  </si>
  <si>
    <t xml:space="preserve">Akumulační nádrž topné vody bez výměníku PN 0,3 o objemu1500 l vč. tepelné izolace   </t>
  </si>
  <si>
    <t>732320815</t>
  </si>
  <si>
    <t xml:space="preserve">Demontáž nádrže beztlaké nebo tlakové odpojení od rozvodů potrubí obsah do 1000 litrů   </t>
  </si>
  <si>
    <t>732324814</t>
  </si>
  <si>
    <t xml:space="preserve">Demontáž nádrže beztlaké nebo tlakové vypuštění vody z nádrže obsah do 500 litrů   </t>
  </si>
  <si>
    <t>732331624</t>
  </si>
  <si>
    <t xml:space="preserve">Nádoba tlaková expanzní s membránou závitové připojení PN 0,6 o objemu 300 l   </t>
  </si>
  <si>
    <t>732331778</t>
  </si>
  <si>
    <t xml:space="preserve">Příslušenství k expanzním nádobám bezpečnostní uzávěr G 1 k měření tlaku   </t>
  </si>
  <si>
    <t>732390853</t>
  </si>
  <si>
    <t xml:space="preserve">Sejmutí odpojených nádrží z konzol na podlahu obsah do 200 litrů   </t>
  </si>
  <si>
    <t>732390854</t>
  </si>
  <si>
    <t xml:space="preserve">Příplatek k sejmutí odpojených nádrží z konzol za dalších 100 litrů obsahu nádrže   </t>
  </si>
  <si>
    <t>732393815</t>
  </si>
  <si>
    <t xml:space="preserve">Rozřezání demontované nádrže obsah do 1000 litrů   </t>
  </si>
  <si>
    <t>732420813</t>
  </si>
  <si>
    <t xml:space="preserve">Demontáž čerpadla oběhového spirálního DN 50   </t>
  </si>
  <si>
    <t>732421401R</t>
  </si>
  <si>
    <t xml:space="preserve">Čerpadlo teplovodní mokroběžné závitové oběhové DN 15 výtlak do 4,0 m průtok 2,0 m3/h pro vytápění   </t>
  </si>
  <si>
    <t>732421411</t>
  </si>
  <si>
    <t xml:space="preserve">Čerpadlo teplovodní mokroběžné závitové oběhové DN 15 výtlak do 6,0 m průtok 2,5 m3/h pro vytápění   </t>
  </si>
  <si>
    <t>732421441</t>
  </si>
  <si>
    <t xml:space="preserve">Čerpadlo teplovodní mokroběžné závitové oběhové DN 32 výtlak do 4,0 m průtok 2,0 m3/h pro vytápění   </t>
  </si>
  <si>
    <t>732429212</t>
  </si>
  <si>
    <t>732429215</t>
  </si>
  <si>
    <t xml:space="preserve">Montáž čerpadla oběhového mokroběžného závitového DN 32   </t>
  </si>
  <si>
    <t>733</t>
  </si>
  <si>
    <t xml:space="preserve">Ústřední vytápění - rozvodné potrubí   </t>
  </si>
  <si>
    <t>733110803</t>
  </si>
  <si>
    <t xml:space="preserve">Demontáž potrubí ocelového závitového do DN 15   </t>
  </si>
  <si>
    <t>733110806</t>
  </si>
  <si>
    <t xml:space="preserve">Demontáž potrubí ocelového závitového do DN 32   </t>
  </si>
  <si>
    <t>733110808</t>
  </si>
  <si>
    <t xml:space="preserve">Demontáž potrubí ocelového závitového do DN 50   </t>
  </si>
  <si>
    <t>733111113</t>
  </si>
  <si>
    <t xml:space="preserve">Potrubí ocelové závitové bezešvé běžné v kotelnách nebo strojovnách DN 15   </t>
  </si>
  <si>
    <t>733111115</t>
  </si>
  <si>
    <t xml:space="preserve">Potrubí ocelové závitové bezešvé běžné v kotelnách nebo strojovnách DN 25   </t>
  </si>
  <si>
    <t>733111117</t>
  </si>
  <si>
    <t xml:space="preserve">Potrubí ocelové závitové bezešvé běžné v kotelnách nebo strojovnách DN 40   </t>
  </si>
  <si>
    <t>733111123</t>
  </si>
  <si>
    <t xml:space="preserve">Potrubí ocelové závitové bezešvé běžné nízkotlaké nebo středotlaké DN 15   </t>
  </si>
  <si>
    <t>733111124</t>
  </si>
  <si>
    <t xml:space="preserve">Potrubí ocelové závitové bezešvé běžné nízkotlaké nebo středotlaké DN 20   </t>
  </si>
  <si>
    <t>733111125</t>
  </si>
  <si>
    <t xml:space="preserve">Potrubí ocelové závitové bezešvé běžné nízkotlaké nebo středotlaké DN 25   </t>
  </si>
  <si>
    <t>733111127</t>
  </si>
  <si>
    <t xml:space="preserve">Potrubí ocelové závitové bezešvé běžné nízkotlaké nebo středotlaké DN 40   </t>
  </si>
  <si>
    <t>733113113</t>
  </si>
  <si>
    <t>733113115</t>
  </si>
  <si>
    <t>733113117</t>
  </si>
  <si>
    <t>733120826</t>
  </si>
  <si>
    <t>733140811</t>
  </si>
  <si>
    <t xml:space="preserve">Odřezání nádoby odvzdušňovací   </t>
  </si>
  <si>
    <t>733141102</t>
  </si>
  <si>
    <t xml:space="preserve">Odvzdušňovací nádoba z trubek ocelových do DN 50   </t>
  </si>
  <si>
    <t>733190107</t>
  </si>
  <si>
    <t xml:space="preserve">Zkouška těsnosti potrubí ocelové závitové do DN 40   </t>
  </si>
  <si>
    <t>733190801</t>
  </si>
  <si>
    <t xml:space="preserve">Odřezání objímky dvojité do DN 50   </t>
  </si>
  <si>
    <t>733193810</t>
  </si>
  <si>
    <t xml:space="preserve">Rozřezání konzoly, podpěry nebo výložníku pro potrubí z L profilu do 50x50x5 mm   </t>
  </si>
  <si>
    <t>733194810</t>
  </si>
  <si>
    <t xml:space="preserve">Rozřezání konzoly, podpěry nebo výložníku pro potrubí z U profilu do U 6,5   </t>
  </si>
  <si>
    <t>733811251</t>
  </si>
  <si>
    <t xml:space="preserve">Ochrana potrubí ústředního vytápění termoizolačními trubicemi z PE tl do 25 mm DN do 22 mm poptrubí v kanálku v objektu A   </t>
  </si>
  <si>
    <t>733811252</t>
  </si>
  <si>
    <t xml:space="preserve">Ochrana potrubí ústředního vytápění termoizolačními trubicemi z PE tl do 25 mm DN do 45 mm   </t>
  </si>
  <si>
    <t>734</t>
  </si>
  <si>
    <t xml:space="preserve">Ústřední vytápění - armatury   </t>
  </si>
  <si>
    <t>734100811</t>
  </si>
  <si>
    <t xml:space="preserve">Demontáž armatury přírubové se dvěma přírubami do DN 50   </t>
  </si>
  <si>
    <t>734100812</t>
  </si>
  <si>
    <t xml:space="preserve">Demontáž armatury přírubové se dvěma přírubami do DN 100   </t>
  </si>
  <si>
    <t>734190814</t>
  </si>
  <si>
    <t xml:space="preserve">Rozpojení přírubového spoje do DN 50   </t>
  </si>
  <si>
    <t>734190818</t>
  </si>
  <si>
    <t xml:space="preserve">Rozpojení přírubového spoje do DN 100   </t>
  </si>
  <si>
    <t>734191821</t>
  </si>
  <si>
    <t xml:space="preserve">Odřezání příruby bez rozpojení přírubového spoje do DN 50   </t>
  </si>
  <si>
    <t>734191822</t>
  </si>
  <si>
    <t xml:space="preserve">Odřezání příruby bez rozpojení přírubového spoje do DN 100   </t>
  </si>
  <si>
    <t>734200811</t>
  </si>
  <si>
    <t xml:space="preserve">Demontáž armatury závitové s jedním závitem do G 1/2   </t>
  </si>
  <si>
    <t>734200821</t>
  </si>
  <si>
    <t xml:space="preserve">Demontáž armatury závitové se dvěma závity do G 1/2   </t>
  </si>
  <si>
    <t>734200822</t>
  </si>
  <si>
    <t xml:space="preserve">Demontáž armatury závitové se dvěma závity do G 1   </t>
  </si>
  <si>
    <t>734209123</t>
  </si>
  <si>
    <t xml:space="preserve">Montáž armatury závitové s třemi závity G 1/2   </t>
  </si>
  <si>
    <t>734209124</t>
  </si>
  <si>
    <t xml:space="preserve">Montáž armatury závitové s třemi závity G 3/4   </t>
  </si>
  <si>
    <t>734209126</t>
  </si>
  <si>
    <t xml:space="preserve">Montáž armatury závitové s třemi závity G 5/4   </t>
  </si>
  <si>
    <t>734211113</t>
  </si>
  <si>
    <t xml:space="preserve">Ventil závitový odvzdušňovací G 3/8 PN 10 do 120°C otopných těles   </t>
  </si>
  <si>
    <t>734220100R</t>
  </si>
  <si>
    <t xml:space="preserve">Ventil závitový regulační přímý G 1/2 PN 20 do 100°C vyvažovací   </t>
  </si>
  <si>
    <t>734220101</t>
  </si>
  <si>
    <t xml:space="preserve">Ventil závitový regulační přímý G 3/4 PN 20 do 100°C vyvažovací   </t>
  </si>
  <si>
    <t>734220102</t>
  </si>
  <si>
    <t xml:space="preserve">Ventil závitový regulační přímý G 1 PN 20 do 100°C vyvažovací   </t>
  </si>
  <si>
    <t>734220104</t>
  </si>
  <si>
    <t xml:space="preserve">Ventil závitový regulační přímý G 6/4 PN 20 do 100°C vyvažovací   </t>
  </si>
  <si>
    <t>734221682</t>
  </si>
  <si>
    <t xml:space="preserve">Termostatická hlavice kapalinová PN 10 do 110°C otopných těles VK   </t>
  </si>
  <si>
    <t>734242412</t>
  </si>
  <si>
    <t xml:space="preserve">Ventil závitový zpětný přímý G 1/2 PN 16 do 110°C   </t>
  </si>
  <si>
    <t>734242414</t>
  </si>
  <si>
    <t xml:space="preserve">Ventil závitový zpětný přímý G 1 PN 16 do 110°C   </t>
  </si>
  <si>
    <t>734242416</t>
  </si>
  <si>
    <t xml:space="preserve">Ventil závitový zpětný přímý G 6/4 PN 16 do 110°C   </t>
  </si>
  <si>
    <t>734251211</t>
  </si>
  <si>
    <t xml:space="preserve">Ventil závitový pojistný rohový G 1/2 provozní tlak od 2,5 do 6 barů   </t>
  </si>
  <si>
    <t>734261406</t>
  </si>
  <si>
    <t xml:space="preserve">Armatura připojovací přímá G 1/2x18 PN 10 do 110°C radiátorů typu VK   </t>
  </si>
  <si>
    <t>734291123</t>
  </si>
  <si>
    <t xml:space="preserve">Kohout plnící a vypouštěcí G 1/2 PN 10 do 90°C závitový   </t>
  </si>
  <si>
    <t>734291242</t>
  </si>
  <si>
    <t xml:space="preserve">Filtr závitový přímý G 1/2 PN 16 do 130°C s vnitřními závity   </t>
  </si>
  <si>
    <t>734291244</t>
  </si>
  <si>
    <t xml:space="preserve">Filtr závitový přímý G 1 PN 16 do 130°C s vnitřními závity   </t>
  </si>
  <si>
    <t>734291246</t>
  </si>
  <si>
    <t xml:space="preserve">Filtr závitový přímý G 1 1/2 PN 16 do 130°C s vnitřními závity   </t>
  </si>
  <si>
    <t>734292713</t>
  </si>
  <si>
    <t xml:space="preserve">Kohout kulový přímý G 1/2 PN 42 do 185°C vnitřní závit   </t>
  </si>
  <si>
    <t>734292714</t>
  </si>
  <si>
    <t xml:space="preserve">Kohout kulový přímý G 3/4 PN 42 do 185°C vnitřní závit   </t>
  </si>
  <si>
    <t>734292715</t>
  </si>
  <si>
    <t xml:space="preserve">Kohout kulový přímý G 1 PN 42 do 185°C vnitřní závit   </t>
  </si>
  <si>
    <t>734292717</t>
  </si>
  <si>
    <t xml:space="preserve">Kohout kulový přímý G 1 1/2 PN 42 do 185°C vnitřní závit   </t>
  </si>
  <si>
    <t>734295021</t>
  </si>
  <si>
    <t xml:space="preserve">Směšovací armatura závitová trojcestná DN 20 se servomotorem   </t>
  </si>
  <si>
    <t>734295022</t>
  </si>
  <si>
    <t xml:space="preserve">Směšovací armatura závitová trojcestná DN 15 se servomotorem   </t>
  </si>
  <si>
    <t>734295023</t>
  </si>
  <si>
    <t xml:space="preserve">Směšovací armatura závitová trojcestná DN 32 se servomotorem   </t>
  </si>
  <si>
    <t>734410811</t>
  </si>
  <si>
    <t xml:space="preserve">Demontáž teploměru přímého nebo rohového s ochranným pouzdrem   </t>
  </si>
  <si>
    <t>734411123</t>
  </si>
  <si>
    <t>734412113R</t>
  </si>
  <si>
    <t xml:space="preserve">Měřič tepla kompaktní Qn 3,5 G 1   </t>
  </si>
  <si>
    <t>734420811</t>
  </si>
  <si>
    <t xml:space="preserve">Demontáž tlakoměru se spodním připojením   </t>
  </si>
  <si>
    <t>734421102</t>
  </si>
  <si>
    <t xml:space="preserve">Tlakoměr s pevným stonkem a zpětnou klapkou tlak 0-16 bar průměr 63 mm spodní připojení   </t>
  </si>
  <si>
    <t>734424101</t>
  </si>
  <si>
    <t xml:space="preserve">Kondenzační smyčka k přivaření zahnutá PN 250 do 300°C   </t>
  </si>
  <si>
    <t>734441115</t>
  </si>
  <si>
    <t xml:space="preserve">Regulátor tlaku vlnovcový tlak 40 až 400 kPa s jednoobvodovým mikrospínačem   </t>
  </si>
  <si>
    <t>734443811</t>
  </si>
  <si>
    <t xml:space="preserve">Demontáž regulátoru tahu přímočinného   </t>
  </si>
  <si>
    <t>734494121</t>
  </si>
  <si>
    <t xml:space="preserve">Návarek s metrickým závitem M 20x1,5 délky do 220 mm   </t>
  </si>
  <si>
    <t>734499211</t>
  </si>
  <si>
    <t xml:space="preserve">Montáž návarku M 20x1,5   </t>
  </si>
  <si>
    <t>735</t>
  </si>
  <si>
    <t xml:space="preserve">Ústřední vytápění - otopná tělesa   </t>
  </si>
  <si>
    <t>735000912</t>
  </si>
  <si>
    <t xml:space="preserve">Vyregulování ventilu nebo kohoutu dvojregulačního s termostatickým ovládáním   </t>
  </si>
  <si>
    <t>735121810</t>
  </si>
  <si>
    <t xml:space="preserve">Demontáž otopného tělesa ocelového článkového   </t>
  </si>
  <si>
    <t>735152171</t>
  </si>
  <si>
    <t xml:space="preserve">Otopné těleso panel VK jednodeskové bez přídavné přestupní plochy výška/délka 600/400 mm výkon 242 W   </t>
  </si>
  <si>
    <t>735152174</t>
  </si>
  <si>
    <t xml:space="preserve">Otopné těleso panel VK jednodeskové bez přídavné přestupní plochy výška/délka 600/700 mm výkon 423 W   </t>
  </si>
  <si>
    <t>735152178</t>
  </si>
  <si>
    <t xml:space="preserve">Otopné těleso panel VK jednodeskové bez přídavné přestupní plochy výška/délka 600/1100mm výkon 664 W   </t>
  </si>
  <si>
    <t>735152271</t>
  </si>
  <si>
    <t xml:space="preserve">Otopné těleso panelové VK jednodeskové 1 přídavná přestupní plocha výška/délka 600/400mm výkon 401 W   </t>
  </si>
  <si>
    <t>735152273</t>
  </si>
  <si>
    <t xml:space="preserve">Otopné těleso panelové VK jednodeskové 1 přídavná přestupní plocha výška/délka 600/600mm výkon 601 W   </t>
  </si>
  <si>
    <t>735152277</t>
  </si>
  <si>
    <t xml:space="preserve">Otopné těleso panel VK jednodeskové 1 přídavná přestupní plocha výška/délka 600/1000 mm výkon 1002 W   </t>
  </si>
  <si>
    <t>735152278</t>
  </si>
  <si>
    <t xml:space="preserve">Otopné těleso panel VK jednodeskové 1 přídavná přestupní plocha výška/délka 600/1100 mm výkon 1102 W   </t>
  </si>
  <si>
    <t>735152279</t>
  </si>
  <si>
    <t xml:space="preserve">Otopné těleso panel VK jednodeskové 1 přídavná přestupní plocha výška/délka 600/1200 mm výkon 1202 W   </t>
  </si>
  <si>
    <t>735152281</t>
  </si>
  <si>
    <t xml:space="preserve">Otopné těleso panel VK jednodeskové 1 přídavná přestupní plocha výška/délka 600/1600 mm výkon 1603 W   </t>
  </si>
  <si>
    <t>735152473</t>
  </si>
  <si>
    <t xml:space="preserve">Otopné těleso panelové VK dvoudeskové 1 přídavná přestupní plocha výška/délka 600/600 mm výkon 773 W   </t>
  </si>
  <si>
    <t>735152474</t>
  </si>
  <si>
    <t xml:space="preserve">Otopné těleso panelové VK dvoudeskové 1 přídavná přestupní plocha výška/délka 600/700 mm výkon 902 W   </t>
  </si>
  <si>
    <t>735152475</t>
  </si>
  <si>
    <t xml:space="preserve">Otopné těleso panelové VK dvoudeskové 1 přídavná přestupní plocha výška/délka 600/800mm výkon 1030 W   </t>
  </si>
  <si>
    <t>735152476</t>
  </si>
  <si>
    <t xml:space="preserve">Otopné těleso panelové VK dvoudeskové 1 přídavná přestupní plocha výška/délka 600/900 mm výkon 1159 W   </t>
  </si>
  <si>
    <t>735152477</t>
  </si>
  <si>
    <t xml:space="preserve">Otopné těleso panelové VK dvoudeskové 1 přídavná přestupní plocha výška/délka 600/1000mm výkon 1288W   </t>
  </si>
  <si>
    <t>735152478</t>
  </si>
  <si>
    <t xml:space="preserve">Otopné těleso panelové VK dvoudeskové 1 přídavná přestupní plocha výška/délka 600/1100mm výkon 1417W   </t>
  </si>
  <si>
    <t>735152479</t>
  </si>
  <si>
    <t xml:space="preserve">Otopné těleso panelové VK dvoudeskové 1 přídavná přestupní plocha výška/délka 600/1200mm výkon 1546W   </t>
  </si>
  <si>
    <t>735152480</t>
  </si>
  <si>
    <t xml:space="preserve">Otopné těleso panelové VK dvoudeskové 1 přídavná přestupní plocha výška/délka 600/1400mm výkon 1803W   </t>
  </si>
  <si>
    <t>735152494</t>
  </si>
  <si>
    <t xml:space="preserve">Otopné těleso panelové VK dvoudeskové 1 přídavná přestupní plocha výška/délka 900/700mm výkon 1228 W   </t>
  </si>
  <si>
    <t>735152572</t>
  </si>
  <si>
    <t xml:space="preserve">Otopné těleso panelové VK dvoudeskové 2 přídavné přestupní plochy výška/délka 600/500 mm výkon 840 W   </t>
  </si>
  <si>
    <t>735152581</t>
  </si>
  <si>
    <t xml:space="preserve">Otopné těleso panelové VK dvoudeskové 2 přídavné přestupní plochy výška/délka 600/1600mm výkon 2686W   </t>
  </si>
  <si>
    <t>735152583</t>
  </si>
  <si>
    <t xml:space="preserve">Otopné těleso panelové VK dvoudeskové 2 přídavné přestupní plochy výška/délka 600/2000mm výkon 3358W   </t>
  </si>
  <si>
    <t>735152598</t>
  </si>
  <si>
    <t xml:space="preserve">Otopné těleso panelové VK dvoudeskové 2 přídavné přestupní plochy výška/délka 900/1100mm výkon 2544W   </t>
  </si>
  <si>
    <t>735152599</t>
  </si>
  <si>
    <t xml:space="preserve">Otopné těleso panelové VK dvoudeskové 2 přídavné přestupní plochy výška/délka 900/1200mm výkon 2776W   </t>
  </si>
  <si>
    <t>735152600</t>
  </si>
  <si>
    <t xml:space="preserve">Otopné těleso panelové VK dvoudeskové 2 přídavné přestupní plochy výška/délka 900/1400mm výkon 3238W   </t>
  </si>
  <si>
    <t>735152675</t>
  </si>
  <si>
    <t xml:space="preserve">Otopné těleso panelové VK třídeskové 3 přídavné přestupní plochy výška/délka 600/800 mm výkon 1925 W   </t>
  </si>
  <si>
    <t>735152676</t>
  </si>
  <si>
    <t xml:space="preserve">Otopné těleso panelové VK třídeskové 3 přídavné přestupní plochy výška/délka 600/900 mm výkon 2165 W   </t>
  </si>
  <si>
    <t>735152677</t>
  </si>
  <si>
    <t xml:space="preserve">Otopné těleso panelové VK třídeskové 3 přídavné přestupní plochy výška/délka 600/1000mm výkon 2406 W   </t>
  </si>
  <si>
    <t>735152678</t>
  </si>
  <si>
    <t xml:space="preserve">Otopné těleso panelové VK třídeskové 3 přídavné přestupní plochy výška/délka 600/1100mm výkon 2647 W   </t>
  </si>
  <si>
    <t>735152697</t>
  </si>
  <si>
    <t xml:space="preserve">Otopné těleso panelové VK třídeskové 3 přídavné přestupní plochy výška/délka 900/1000mm výkon 3228 W   </t>
  </si>
  <si>
    <t>735152699</t>
  </si>
  <si>
    <t xml:space="preserve">Otopné těleso panelové VK třídeskové 3 přídavné přestupní plochy výška/délka 900/1200mm výkon 3994 W   </t>
  </si>
  <si>
    <t>735152700R</t>
  </si>
  <si>
    <t xml:space="preserve">Otopné těleso panelové VK třídeskové 3 přídavné přestupní plochy výška/délka 900/1600mm výkon 4659 W   </t>
  </si>
  <si>
    <t>735152701R</t>
  </si>
  <si>
    <t xml:space="preserve">Otopné těleso panelové VK třídeskové 3 přídavné přestupní plochy výška/délka 900/1800mm výkon 4989 W   </t>
  </si>
  <si>
    <t>735159110</t>
  </si>
  <si>
    <t xml:space="preserve">Montáž otopných těles panelových jednořadých délky do 1500 mm   </t>
  </si>
  <si>
    <t>735159120</t>
  </si>
  <si>
    <t xml:space="preserve">Montáž otopných těles panelových jednořadých délky do 2340 mm   </t>
  </si>
  <si>
    <t>735159210</t>
  </si>
  <si>
    <t xml:space="preserve">Montáž otopných těles panelových dvouřadých délky do 1140 mm   </t>
  </si>
  <si>
    <t>735159220</t>
  </si>
  <si>
    <t xml:space="preserve">Montáž otopných těles panelových dvouřadých délky do 1500 mm   </t>
  </si>
  <si>
    <t>735159230</t>
  </si>
  <si>
    <t xml:space="preserve">Montáž otopných těles panelových dvouřadých délky do 1980 mm   </t>
  </si>
  <si>
    <t>735159310</t>
  </si>
  <si>
    <t xml:space="preserve">Montáž otopných těles panelových třířadých délky do 1140 mm   </t>
  </si>
  <si>
    <t>735159320</t>
  </si>
  <si>
    <t xml:space="preserve">Montáž otopných těles panelových třířadých délky do 1500 mm   </t>
  </si>
  <si>
    <t>735159330</t>
  </si>
  <si>
    <t xml:space="preserve">Montáž otopných těles panelových třířadých délky do 1980 mm   </t>
  </si>
  <si>
    <t>735191905</t>
  </si>
  <si>
    <t xml:space="preserve">Odvzdušnění otopných těles   </t>
  </si>
  <si>
    <t>735191910</t>
  </si>
  <si>
    <t>735411812R</t>
  </si>
  <si>
    <t xml:space="preserve">Demontáž elektrického konvektoru stavební délky do 1600 mm vč. elektrického přívodu   </t>
  </si>
  <si>
    <t>735419125R</t>
  </si>
  <si>
    <t xml:space="preserve">Montáž  a dodávka teplovodní teplovzdušné nástěnné jednotky výkon 14 kW, pro vodu 60/45stC, 2x závěsná konzola ruční ovládání   </t>
  </si>
  <si>
    <t>735494811</t>
  </si>
  <si>
    <t xml:space="preserve">Vypuštění vody z otopných těles   </t>
  </si>
  <si>
    <t xml:space="preserve">Dokončovací práce - nátěry   </t>
  </si>
  <si>
    <t>783614651</t>
  </si>
  <si>
    <t xml:space="preserve">Základní antikorozní jednonásobný syntetický potrubí DN do 50 mm   </t>
  </si>
  <si>
    <t>783617611</t>
  </si>
  <si>
    <t xml:space="preserve">Krycí dvojnásobný syntetický nátěr potrubí DN do 50 mm   </t>
  </si>
  <si>
    <t>VRN</t>
  </si>
  <si>
    <t xml:space="preserve">Vedlejší rozpočtové náklady   </t>
  </si>
  <si>
    <t>VRN9</t>
  </si>
  <si>
    <t xml:space="preserve">Ostatní náklady   </t>
  </si>
  <si>
    <t>091003000R</t>
  </si>
  <si>
    <t xml:space="preserve">HZS - výchozí revize a zkoušky zařízení   </t>
  </si>
  <si>
    <t>091104000R</t>
  </si>
  <si>
    <t xml:space="preserve">HZS - topná zkouška 72 hod   </t>
  </si>
  <si>
    <t>091204000R</t>
  </si>
  <si>
    <t>091304000R</t>
  </si>
  <si>
    <t>091404000R</t>
  </si>
  <si>
    <t xml:space="preserve">Dokumentace skutečného provedení stavby   </t>
  </si>
  <si>
    <t>091504000R</t>
  </si>
  <si>
    <t xml:space="preserve">Kontrola a seřízení průtoků otopné soustavy   </t>
  </si>
  <si>
    <t>091604000R</t>
  </si>
  <si>
    <t>091704000R</t>
  </si>
  <si>
    <t>092103001R</t>
  </si>
  <si>
    <t xml:space="preserve">Dodávka a montáž stěnového ventilátoru s žaluzií pro výkon 400 m3/h vč. elektroinstalace   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</si>
  <si>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</si>
  <si>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</si>
  <si>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</si>
  <si>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</si>
  <si>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</si>
  <si>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</si>
  <si>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</si>
  <si>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</si>
  <si>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</si>
  <si>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</si>
  <si>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</si>
  <si>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</si>
  <si>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</si>
  <si>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</si>
  <si>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</si>
  <si>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</si>
  <si>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</si>
  <si>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</si>
  <si>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</si>
  <si>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</si>
  <si>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</si>
  <si>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</si>
  <si>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</si>
  <si>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</si>
  <si>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</si>
  <si>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</si>
  <si>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</si>
  <si>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</si>
  <si>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</si>
  <si>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</si>
  <si>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</si>
  <si>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</si>
  <si>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</si>
  <si>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</si>
  <si>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</si>
  <si>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</si>
  <si>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</si>
  <si>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</si>
  <si>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</si>
  <si>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</si>
  <si>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</si>
  <si>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</si>
  <si>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</si>
  <si>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</si>
  <si>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</si>
  <si>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</si>
  <si>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</si>
  <si>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</si>
  <si>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</si>
  <si>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</si>
  <si>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</si>
  <si>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</si>
  <si>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</si>
  <si>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</si>
  <si>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</si>
  <si>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</si>
  <si>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</si>
  <si>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</si>
  <si>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</si>
  <si>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</si>
  <si>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</si>
  <si>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</si>
  <si>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</si>
  <si>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</si>
  <si>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</si>
  <si>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</si>
  <si>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</si>
  <si>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</si>
  <si>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</si>
  <si>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</si>
  <si>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</si>
  <si>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</si>
  <si>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</si>
  <si>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</si>
  <si>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</si>
  <si>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</si>
  <si>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</si>
  <si>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</si>
  <si>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</si>
  <si>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</si>
  <si>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</si>
  <si>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</si>
  <si>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</si>
  <si>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</si>
  <si>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</si>
  <si>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</si>
  <si>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</si>
  <si>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</si>
  <si>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</si>
  <si>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</si>
  <si>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</si>
  <si>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</si>
  <si>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</si>
  <si>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</si>
  <si>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</si>
  <si>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</si>
  <si>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</si>
  <si>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</si>
  <si>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</si>
  <si>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</si>
  <si>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</si>
  <si>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</si>
  <si>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</si>
  <si>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</si>
  <si>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</si>
  <si>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</si>
  <si>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</si>
  <si>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</si>
  <si>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</si>
  <si>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</si>
  <si>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</si>
  <si>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</si>
  <si>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</si>
  <si>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</si>
  <si>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</si>
  <si>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</si>
  <si>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</si>
  <si>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</si>
  <si>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</si>
  <si>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</si>
  <si>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</si>
  <si>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</si>
  <si>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</si>
  <si>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</si>
  <si>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</si>
  <si>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</si>
  <si>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</si>
  <si>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</si>
  <si>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</si>
  <si>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</si>
  <si>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</si>
  <si>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</si>
  <si>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</si>
  <si>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</si>
  <si>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</si>
  <si>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</si>
  <si>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</si>
  <si>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</si>
  <si>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</si>
  <si>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</si>
  <si>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</si>
  <si>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</si>
  <si>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</si>
  <si>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</si>
  <si>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</si>
  <si>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</si>
  <si>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</si>
  <si>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</si>
  <si>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</si>
  <si>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</si>
  <si>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</si>
  <si>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</si>
  <si>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</si>
  <si>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</si>
  <si>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</si>
  <si>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</si>
  <si>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</si>
  <si>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</si>
  <si>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</si>
  <si>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</si>
  <si>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</si>
  <si>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</si>
  <si>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</si>
  <si>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</si>
  <si>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</si>
  <si>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</si>
  <si>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</si>
  <si>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</si>
  <si>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</si>
  <si>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</si>
  <si>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</si>
  <si>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</si>
  <si>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</si>
  <si>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</si>
  <si>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</si>
  <si>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</si>
  <si>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455</t>
  </si>
  <si>
    <t xml:space="preserve">Stavební úpravy komínového tělesa - vybírací a čistící otvor, otvor sopouchu - vybourání a zazdění   </t>
  </si>
  <si>
    <t>63151671R</t>
  </si>
  <si>
    <t>63151672R</t>
  </si>
  <si>
    <t>63151673R</t>
  </si>
  <si>
    <t>63151674R</t>
  </si>
  <si>
    <t>Systém vytápění</t>
  </si>
  <si>
    <t>713411126R</t>
  </si>
  <si>
    <t>Tepelně izolační pouzdro pr. 15 mm s jednostrannou Al fólií tl. 30 mm</t>
  </si>
  <si>
    <t>Tepelně izolační pouzdro pr. 25 mm s jednostrannou Al fólií tl. 30 mm</t>
  </si>
  <si>
    <t>Tepelně izolační pouzdro pr. 35 mm s jednostrannou Al fólií tl. 40 mm</t>
  </si>
  <si>
    <t>Tepelně izolační pouzdro pr. 40 mm s jednostrannou Al fólií tl. 40 mm</t>
  </si>
  <si>
    <t>Montáž tepelně izolačního pouzdra</t>
  </si>
  <si>
    <t>Pás izolační lamelový s jednostrannou Al fólií tl.40 mm</t>
  </si>
  <si>
    <t>Rohož izolační lamelová s jednostrannou Al fólií tl.40 mm</t>
  </si>
  <si>
    <t xml:space="preserve">Montáž izolace tepelné potrubí pásy nebo rohožemi s Al fólií </t>
  </si>
  <si>
    <t>6,4</t>
  </si>
  <si>
    <t>podrobný popis položek 278, 279, 280 až 285  viz. projektová dokumentace, potřebné délky pouzder změřit před montáží</t>
  </si>
  <si>
    <t xml:space="preserve">Kotel automatický na tuhá paliva stacionární odtah spalin do komínaí 49-66kW - na energetické obilí, výkon max. 60 kW,  zásobník paliva 700 l, automatické odpopelňování,  kotlová regulace, spalinový filtr, spalinový ventilátor, popis dle TZ   </t>
  </si>
  <si>
    <t>podrobný popis akumulační nádrže viz. projektová dokumentace</t>
  </si>
  <si>
    <t>podrobný popis kotle viz. projektová dokumentace</t>
  </si>
  <si>
    <t xml:space="preserve">Příplatek k porubí z trubek ocelových závitových za zhotovení závitové ocel. přípojky DN 15   </t>
  </si>
  <si>
    <t xml:space="preserve">Příplatek k porubí z trubek ocelových závitových za zhotovení závitové ocel. přípojky DN 25   </t>
  </si>
  <si>
    <t xml:space="preserve">Příplatek k porubí z trubek ocelových závitových za zhotovení závitové ocel. přípojky DN 40   </t>
  </si>
  <si>
    <t>Demontáž potrubí ocelového hladkého</t>
  </si>
  <si>
    <t xml:space="preserve">Teploměr technický s pevným stonkem a jímkou zadní připojení pr. 100 mm délky 50 mm   </t>
  </si>
  <si>
    <t>kotle, elektroinstalace, akumulační nádrže, expanzní nádrže</t>
  </si>
  <si>
    <t>dle požadavků projektové dokumentace, nutné provést !</t>
  </si>
  <si>
    <t>Teplovodní přípojka dle specifikace projektové dokumentace</t>
  </si>
  <si>
    <t>od této položky může být upuštěno</t>
  </si>
  <si>
    <t xml:space="preserve">Dodávka a montáž elektroinstalace a MaR kotelny vč. projektové dokumentace   </t>
  </si>
  <si>
    <t>Seřízení kotelny a MaR, zaškolení obsluhy</t>
  </si>
  <si>
    <t xml:space="preserve">Kontrola kotelny BOZP, vybavení kotelny dle vyhl. 91/93 Sb. - provozní řád   </t>
  </si>
  <si>
    <t xml:space="preserve">Vyvložkování stávajícího svislého kouřovodu nerezovými vložkami pevnými D do 200 mm v 3 m, vybírací, čistící  a kontrolní otvory a sopouch, regulátor tahu komína - vše nerez ocel odolná vlhkosti - komplet   </t>
  </si>
  <si>
    <t>953845127R</t>
  </si>
  <si>
    <t>Kouřovod pr. 200mm z nerezu vč. tepelné izolace tl. 40 mm</t>
  </si>
  <si>
    <t xml:space="preserve">Montáž čerpadla oběhového mokroběžného závitového do DN 25   </t>
  </si>
  <si>
    <t>6315971R</t>
  </si>
  <si>
    <t>Tepelná izolace čerpadla vč. montáže</t>
  </si>
  <si>
    <t>735191911</t>
  </si>
  <si>
    <t>735191911R1</t>
  </si>
  <si>
    <t>Chemická úprava otopné vody</t>
  </si>
  <si>
    <t xml:space="preserve">Napuštění vody do otopných těles  </t>
  </si>
  <si>
    <t>Demineralizace vody do otopných těles</t>
  </si>
  <si>
    <t>pouze v případě vyšší tvrdosti napouštěcí vody</t>
  </si>
  <si>
    <t>998011018R01</t>
  </si>
  <si>
    <t>998011019R01</t>
  </si>
  <si>
    <t>998011001R01</t>
  </si>
  <si>
    <t>Přesun hmot</t>
  </si>
  <si>
    <t>Přesun hmot, přípl. za dalších 5 km</t>
  </si>
  <si>
    <t>Přesun hmot, příplatek do 5 km</t>
  </si>
  <si>
    <t>dle požadavků projektové dokumentace, vzdálenost mezi budovami 6,1 m</t>
  </si>
  <si>
    <t>přibližný odhad</t>
  </si>
  <si>
    <t>Dilatační profil průběžný</t>
  </si>
  <si>
    <t>Lišta s okapničkou PVC UV r. 10/10-200 cm</t>
  </si>
  <si>
    <t>Vyvrtání otvorů 10 ks/m, vyčištění vrtu od hrubých nečistot, zaplnění otvorů injektážní pastou. Aplikace tlakovou pistolí. Uzavření vyplněných otvorů těsnicí maltou.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</si>
</sst>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i/>
      <sz val="10"/>
      <color indexed="8"/>
      <name val="Arial"/>
      <family val="2"/>
    </font>
    <font>
      <b/>
      <i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25"/>
      <name val="Arial"/>
      <family val="2"/>
    </font>
    <font>
      <i/>
      <sz val="10"/>
      <color indexed="25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3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49" fontId="10" fillId="34" borderId="25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49" fontId="12" fillId="0" borderId="25" xfId="0" applyNumberFormat="1" applyFont="1" applyFill="1" applyBorder="1" applyAlignment="1" applyProtection="1">
      <alignment horizontal="right" vertical="center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34" borderId="32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7" fillId="0" borderId="12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 vertical="center"/>
    </xf>
    <xf numFmtId="49" fontId="58" fillId="0" borderId="0" xfId="0" applyNumberFormat="1" applyFont="1" applyFill="1" applyBorder="1" applyAlignment="1" applyProtection="1">
      <alignment vertical="top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9" fillId="0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49" fontId="5" fillId="35" borderId="12" xfId="0" applyNumberFormat="1" applyFont="1" applyFill="1" applyBorder="1" applyAlignment="1" applyProtection="1">
      <alignment horizontal="left" vertical="center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49" fontId="5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49" fontId="5" fillId="35" borderId="0" xfId="0" applyNumberFormat="1" applyFont="1" applyFill="1" applyBorder="1" applyAlignment="1" applyProtection="1">
      <alignment horizontal="center" vertical="center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0" fontId="1" fillId="35" borderId="12" xfId="0" applyNumberFormat="1" applyFont="1" applyFill="1" applyBorder="1" applyAlignment="1" applyProtection="1">
      <alignment vertical="center"/>
      <protection/>
    </xf>
    <xf numFmtId="0" fontId="1" fillId="35" borderId="0" xfId="0" applyFont="1" applyFill="1" applyAlignment="1">
      <alignment vertical="center"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49" fontId="8" fillId="36" borderId="0" xfId="0" applyNumberFormat="1" applyFont="1" applyFill="1" applyBorder="1" applyAlignment="1" applyProtection="1">
      <alignment horizontal="right" vertical="center"/>
      <protection/>
    </xf>
    <xf numFmtId="49" fontId="5" fillId="35" borderId="0" xfId="0" applyNumberFormat="1" applyFont="1" applyFill="1" applyBorder="1" applyAlignment="1" applyProtection="1">
      <alignment horizontal="right" vertical="center"/>
      <protection/>
    </xf>
    <xf numFmtId="49" fontId="1" fillId="35" borderId="0" xfId="0" applyNumberFormat="1" applyFont="1" applyFill="1" applyBorder="1" applyAlignment="1" applyProtection="1">
      <alignment horizontal="right" vertical="center"/>
      <protection/>
    </xf>
    <xf numFmtId="49" fontId="59" fillId="37" borderId="12" xfId="0" applyNumberFormat="1" applyFont="1" applyFill="1" applyBorder="1" applyAlignment="1" applyProtection="1">
      <alignment horizontal="left" vertical="center"/>
      <protection/>
    </xf>
    <xf numFmtId="49" fontId="60" fillId="37" borderId="0" xfId="0" applyNumberFormat="1" applyFont="1" applyFill="1" applyBorder="1" applyAlignment="1" applyProtection="1">
      <alignment horizontal="left" vertical="center"/>
      <protection/>
    </xf>
    <xf numFmtId="49" fontId="60" fillId="37" borderId="0" xfId="0" applyNumberFormat="1" applyFont="1" applyFill="1" applyBorder="1" applyAlignment="1" applyProtection="1">
      <alignment vertical="center"/>
      <protection/>
    </xf>
    <xf numFmtId="49" fontId="59" fillId="37" borderId="0" xfId="0" applyNumberFormat="1" applyFont="1" applyFill="1" applyBorder="1" applyAlignment="1" applyProtection="1">
      <alignment horizontal="center" vertical="center"/>
      <protection/>
    </xf>
    <xf numFmtId="49" fontId="59" fillId="37" borderId="0" xfId="0" applyNumberFormat="1" applyFont="1" applyFill="1" applyBorder="1" applyAlignment="1" applyProtection="1">
      <alignment horizontal="left" vertical="center"/>
      <protection/>
    </xf>
    <xf numFmtId="4" fontId="60" fillId="37" borderId="0" xfId="0" applyNumberFormat="1" applyFont="1" applyFill="1" applyBorder="1" applyAlignment="1" applyProtection="1">
      <alignment horizontal="right" vertical="center"/>
      <protection/>
    </xf>
    <xf numFmtId="49" fontId="60" fillId="37" borderId="0" xfId="0" applyNumberFormat="1" applyFont="1" applyFill="1" applyBorder="1" applyAlignment="1" applyProtection="1">
      <alignment horizontal="right" vertical="center"/>
      <protection/>
    </xf>
    <xf numFmtId="49" fontId="59" fillId="37" borderId="33" xfId="0" applyNumberFormat="1" applyFont="1" applyFill="1" applyBorder="1" applyAlignment="1" applyProtection="1">
      <alignment horizontal="left" vertical="center"/>
      <protection/>
    </xf>
    <xf numFmtId="49" fontId="60" fillId="37" borderId="29" xfId="0" applyNumberFormat="1" applyFont="1" applyFill="1" applyBorder="1" applyAlignment="1" applyProtection="1">
      <alignment horizontal="left" vertical="center"/>
      <protection/>
    </xf>
    <xf numFmtId="49" fontId="60" fillId="37" borderId="29" xfId="0" applyNumberFormat="1" applyFont="1" applyFill="1" applyBorder="1" applyAlignment="1" applyProtection="1">
      <alignment vertical="center"/>
      <protection/>
    </xf>
    <xf numFmtId="49" fontId="59" fillId="37" borderId="29" xfId="0" applyNumberFormat="1" applyFont="1" applyFill="1" applyBorder="1" applyAlignment="1" applyProtection="1">
      <alignment horizontal="center" vertical="center"/>
      <protection/>
    </xf>
    <xf numFmtId="4" fontId="60" fillId="37" borderId="29" xfId="0" applyNumberFormat="1" applyFont="1" applyFill="1" applyBorder="1" applyAlignment="1" applyProtection="1">
      <alignment horizontal="right" vertical="center"/>
      <protection/>
    </xf>
    <xf numFmtId="49" fontId="60" fillId="37" borderId="2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49" fontId="59" fillId="0" borderId="0" xfId="0" applyNumberFormat="1" applyFont="1" applyFill="1" applyBorder="1" applyAlignment="1" applyProtection="1">
      <alignment horizontal="left" vertical="center"/>
      <protection/>
    </xf>
    <xf numFmtId="4" fontId="60" fillId="0" borderId="0" xfId="0" applyNumberFormat="1" applyFont="1" applyFill="1" applyBorder="1" applyAlignment="1" applyProtection="1">
      <alignment horizontal="right" vertical="center"/>
      <protection/>
    </xf>
    <xf numFmtId="49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5" fillId="35" borderId="0" xfId="0" applyNumberFormat="1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wrapText="1"/>
      <protection locked="0"/>
    </xf>
    <xf numFmtId="49" fontId="0" fillId="38" borderId="0" xfId="0" applyNumberFormat="1" applyFont="1" applyFill="1" applyBorder="1" applyAlignment="1" applyProtection="1">
      <alignment horizontal="left" vertical="center"/>
      <protection/>
    </xf>
    <xf numFmtId="49" fontId="14" fillId="38" borderId="0" xfId="0" applyNumberFormat="1" applyFont="1" applyFill="1" applyBorder="1" applyAlignment="1" applyProtection="1">
      <alignment horizontal="left" vertical="center"/>
      <protection/>
    </xf>
    <xf numFmtId="49" fontId="14" fillId="38" borderId="0" xfId="0" applyNumberFormat="1" applyFont="1" applyFill="1" applyBorder="1" applyAlignment="1" applyProtection="1">
      <alignment vertical="center"/>
      <protection/>
    </xf>
    <xf numFmtId="0" fontId="14" fillId="38" borderId="0" xfId="0" applyNumberFormat="1" applyFont="1" applyFill="1" applyBorder="1" applyAlignment="1" applyProtection="1">
      <alignment horizontal="center" vertical="center"/>
      <protection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49" fontId="59" fillId="38" borderId="0" xfId="0" applyNumberFormat="1" applyFont="1" applyFill="1" applyBorder="1" applyAlignment="1" applyProtection="1">
      <alignment horizontal="left" vertical="center"/>
      <protection/>
    </xf>
    <xf numFmtId="4" fontId="60" fillId="38" borderId="0" xfId="0" applyNumberFormat="1" applyFont="1" applyFill="1" applyBorder="1" applyAlignment="1" applyProtection="1">
      <alignment horizontal="right" vertical="center"/>
      <protection/>
    </xf>
    <xf numFmtId="49" fontId="60" fillId="38" borderId="0" xfId="0" applyNumberFormat="1" applyFont="1" applyFill="1" applyBorder="1" applyAlignment="1" applyProtection="1">
      <alignment horizontal="right" vertical="center"/>
      <protection/>
    </xf>
    <xf numFmtId="0" fontId="59" fillId="38" borderId="0" xfId="0" applyNumberFormat="1" applyFont="1" applyFill="1" applyBorder="1" applyAlignment="1" applyProtection="1">
      <alignment vertical="center"/>
      <protection/>
    </xf>
    <xf numFmtId="0" fontId="59" fillId="38" borderId="0" xfId="0" applyFont="1" applyFill="1" applyAlignment="1">
      <alignment vertical="center"/>
    </xf>
    <xf numFmtId="49" fontId="14" fillId="38" borderId="0" xfId="0" applyNumberFormat="1" applyFont="1" applyFill="1" applyBorder="1" applyAlignment="1" applyProtection="1">
      <alignment vertical="center" wrapText="1"/>
      <protection/>
    </xf>
    <xf numFmtId="0" fontId="15" fillId="38" borderId="0" xfId="0" applyFont="1" applyFill="1" applyBorder="1" applyAlignment="1" applyProtection="1">
      <alignment horizontal="left" wrapText="1"/>
      <protection locked="0"/>
    </xf>
    <xf numFmtId="49" fontId="14" fillId="38" borderId="0" xfId="0" applyNumberFormat="1" applyFont="1" applyFill="1" applyBorder="1" applyAlignment="1" applyProtection="1">
      <alignment horizontal="center" vertical="center"/>
      <protection/>
    </xf>
    <xf numFmtId="49" fontId="60" fillId="38" borderId="0" xfId="0" applyNumberFormat="1" applyFont="1" applyFill="1" applyBorder="1" applyAlignment="1" applyProtection="1">
      <alignment horizontal="left" vertical="center"/>
      <protection/>
    </xf>
    <xf numFmtId="0" fontId="60" fillId="38" borderId="0" xfId="0" applyNumberFormat="1" applyFont="1" applyFill="1" applyBorder="1" applyAlignment="1" applyProtection="1">
      <alignment vertical="center"/>
      <protection/>
    </xf>
    <xf numFmtId="0" fontId="60" fillId="38" borderId="0" xfId="0" applyFont="1" applyFill="1" applyAlignment="1">
      <alignment vertical="center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4" fontId="14" fillId="33" borderId="0" xfId="0" applyNumberFormat="1" applyFont="1" applyFill="1" applyBorder="1" applyAlignment="1" applyProtection="1">
      <alignment horizontal="right" vertical="center"/>
      <protection/>
    </xf>
    <xf numFmtId="4" fontId="0" fillId="35" borderId="0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14" fillId="38" borderId="0" xfId="0" applyNumberFormat="1" applyFont="1" applyFill="1" applyBorder="1" applyAlignment="1" applyProtection="1">
      <alignment horizontal="right" vertical="center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59" fillId="0" borderId="0" xfId="0" applyNumberFormat="1" applyFont="1" applyFill="1" applyBorder="1" applyAlignment="1" applyProtection="1">
      <alignment horizontal="left" vertical="top"/>
      <protection/>
    </xf>
    <xf numFmtId="4" fontId="60" fillId="0" borderId="0" xfId="0" applyNumberFormat="1" applyFont="1" applyFill="1" applyBorder="1" applyAlignment="1" applyProtection="1">
      <alignment horizontal="right" vertical="top"/>
      <protection/>
    </xf>
    <xf numFmtId="49" fontId="60" fillId="0" borderId="0" xfId="0" applyNumberFormat="1" applyFont="1" applyFill="1" applyBorder="1" applyAlignment="1" applyProtection="1">
      <alignment horizontal="right" vertical="top"/>
      <protection/>
    </xf>
    <xf numFmtId="0" fontId="59" fillId="0" borderId="0" xfId="0" applyNumberFormat="1" applyFont="1" applyFill="1" applyBorder="1" applyAlignment="1" applyProtection="1">
      <alignment vertical="top"/>
      <protection/>
    </xf>
    <xf numFmtId="0" fontId="59" fillId="0" borderId="0" xfId="0" applyFont="1" applyFill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NumberFormat="1" applyFont="1" applyFill="1" applyBorder="1" applyAlignment="1" applyProtection="1">
      <alignment vertical="top"/>
      <protection/>
    </xf>
    <xf numFmtId="0" fontId="5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49" fontId="20" fillId="33" borderId="0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vertical="top" wrapText="1"/>
      <protection/>
    </xf>
    <xf numFmtId="4" fontId="59" fillId="0" borderId="1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>
      <alignment vertical="center"/>
    </xf>
    <xf numFmtId="0" fontId="1" fillId="35" borderId="0" xfId="0" applyNumberFormat="1" applyFont="1" applyFill="1" applyBorder="1" applyAlignment="1" applyProtection="1">
      <alignment vertical="center"/>
      <protection/>
    </xf>
    <xf numFmtId="4" fontId="5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4" fontId="8" fillId="33" borderId="24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35" borderId="24" xfId="0" applyNumberFormat="1" applyFont="1" applyFill="1" applyBorder="1" applyAlignment="1" applyProtection="1">
      <alignment horizontal="right" vertical="center"/>
      <protection/>
    </xf>
    <xf numFmtId="4" fontId="60" fillId="37" borderId="24" xfId="0" applyNumberFormat="1" applyFont="1" applyFill="1" applyBorder="1" applyAlignment="1" applyProtection="1">
      <alignment horizontal="right" vertical="center"/>
      <protection/>
    </xf>
    <xf numFmtId="4" fontId="60" fillId="38" borderId="24" xfId="0" applyNumberFormat="1" applyFont="1" applyFill="1" applyBorder="1" applyAlignment="1" applyProtection="1">
      <alignment horizontal="right" vertical="center"/>
      <protection/>
    </xf>
    <xf numFmtId="4" fontId="14" fillId="38" borderId="24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0" fontId="58" fillId="0" borderId="24" xfId="0" applyNumberFormat="1" applyFont="1" applyFill="1" applyBorder="1" applyAlignment="1" applyProtection="1">
      <alignment vertical="top"/>
      <protection/>
    </xf>
    <xf numFmtId="0" fontId="57" fillId="0" borderId="24" xfId="0" applyNumberFormat="1" applyFont="1" applyFill="1" applyBorder="1" applyAlignment="1" applyProtection="1">
      <alignment vertical="top"/>
      <protection/>
    </xf>
    <xf numFmtId="4" fontId="17" fillId="38" borderId="24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top"/>
      <protection/>
    </xf>
    <xf numFmtId="0" fontId="58" fillId="0" borderId="34" xfId="0" applyNumberFormat="1" applyFont="1" applyFill="1" applyBorder="1" applyAlignment="1" applyProtection="1">
      <alignment vertical="top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34" borderId="37" xfId="0" applyNumberFormat="1" applyFont="1" applyFill="1" applyBorder="1" applyAlignment="1" applyProtection="1">
      <alignment horizontal="left" vertical="center"/>
      <protection/>
    </xf>
    <xf numFmtId="0" fontId="11" fillId="34" borderId="36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60" fillId="37" borderId="29" xfId="0" applyNumberFormat="1" applyFont="1" applyFill="1" applyBorder="1" applyAlignment="1" applyProtection="1">
      <alignment horizontal="left" vertical="center"/>
      <protection/>
    </xf>
    <xf numFmtId="0" fontId="60" fillId="37" borderId="29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NumberFormat="1" applyFont="1" applyFill="1" applyBorder="1" applyAlignment="1" applyProtection="1">
      <alignment horizontal="left" vertical="top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0" fillId="37" borderId="0" xfId="0" applyNumberFormat="1" applyFont="1" applyFill="1" applyBorder="1" applyAlignment="1" applyProtection="1">
      <alignment horizontal="left" vertical="center"/>
      <protection/>
    </xf>
    <xf numFmtId="0" fontId="60" fillId="37" borderId="0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29" sqref="D29:E2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206" t="s">
        <v>963</v>
      </c>
      <c r="B1" s="206"/>
      <c r="C1" s="206"/>
      <c r="D1" s="206"/>
      <c r="E1" s="206"/>
      <c r="F1" s="206"/>
      <c r="G1" s="206"/>
      <c r="H1" s="206"/>
      <c r="I1" s="206"/>
    </row>
    <row r="2" spans="1:10" ht="12.75">
      <c r="A2" s="172" t="s">
        <v>1</v>
      </c>
      <c r="B2" s="173"/>
      <c r="C2" s="176" t="str">
        <f>'Stavební rozpočet'!D2</f>
        <v>ZEMĚDĚLSKÉ DRUŽSTVO OSTAŠ  - STAVEBNÍ ÚPRAVY</v>
      </c>
      <c r="D2" s="177"/>
      <c r="E2" s="179" t="s">
        <v>861</v>
      </c>
      <c r="F2" s="179" t="str">
        <f>'Stavební rozpočet'!J2</f>
        <v> </v>
      </c>
      <c r="G2" s="173"/>
      <c r="H2" s="179" t="s">
        <v>985</v>
      </c>
      <c r="I2" s="180"/>
      <c r="J2" s="5"/>
    </row>
    <row r="3" spans="1:10" ht="12.75">
      <c r="A3" s="174"/>
      <c r="B3" s="175"/>
      <c r="C3" s="178"/>
      <c r="D3" s="178"/>
      <c r="E3" s="175"/>
      <c r="F3" s="175"/>
      <c r="G3" s="175"/>
      <c r="H3" s="175"/>
      <c r="I3" s="181"/>
      <c r="J3" s="5"/>
    </row>
    <row r="4" spans="1:10" ht="12.75">
      <c r="A4" s="182" t="s">
        <v>2</v>
      </c>
      <c r="B4" s="175"/>
      <c r="C4" s="183" t="str">
        <f>'Stavební rozpočet'!D4</f>
        <v>STAVEBNÍ ÚPRAVY</v>
      </c>
      <c r="D4" s="175"/>
      <c r="E4" s="183" t="s">
        <v>862</v>
      </c>
      <c r="F4" s="183" t="str">
        <f>'Stavební rozpočet'!J4</f>
        <v>Zbyněk Chmela et al.</v>
      </c>
      <c r="G4" s="175"/>
      <c r="H4" s="183" t="s">
        <v>985</v>
      </c>
      <c r="I4" s="184"/>
      <c r="J4" s="5"/>
    </row>
    <row r="5" spans="1:10" ht="12.75">
      <c r="A5" s="174"/>
      <c r="B5" s="175"/>
      <c r="C5" s="175"/>
      <c r="D5" s="175"/>
      <c r="E5" s="175"/>
      <c r="F5" s="175"/>
      <c r="G5" s="175"/>
      <c r="H5" s="175"/>
      <c r="I5" s="181"/>
      <c r="J5" s="5"/>
    </row>
    <row r="6" spans="1:10" ht="12.75">
      <c r="A6" s="182" t="s">
        <v>3</v>
      </c>
      <c r="B6" s="175"/>
      <c r="C6" s="183" t="str">
        <f>'Stavební rozpočet'!D6</f>
        <v>Žďár nad Metují 141, 549 55 Žďár nad Metují</v>
      </c>
      <c r="D6" s="175"/>
      <c r="E6" s="183" t="s">
        <v>863</v>
      </c>
      <c r="F6" s="183">
        <f>'Stavební rozpočet'!J6</f>
        <v>0</v>
      </c>
      <c r="G6" s="175"/>
      <c r="H6" s="183" t="s">
        <v>985</v>
      </c>
      <c r="I6" s="184"/>
      <c r="J6" s="5"/>
    </row>
    <row r="7" spans="1:10" ht="12.75">
      <c r="A7" s="174"/>
      <c r="B7" s="175"/>
      <c r="C7" s="175"/>
      <c r="D7" s="175"/>
      <c r="E7" s="175"/>
      <c r="F7" s="175"/>
      <c r="G7" s="175"/>
      <c r="H7" s="175"/>
      <c r="I7" s="181"/>
      <c r="J7" s="5"/>
    </row>
    <row r="8" spans="1:10" ht="12.75">
      <c r="A8" s="182" t="s">
        <v>842</v>
      </c>
      <c r="B8" s="175"/>
      <c r="C8" s="183" t="str">
        <f>'Stavební rozpočet'!H4</f>
        <v>01.02.2023</v>
      </c>
      <c r="D8" s="175"/>
      <c r="E8" s="183" t="s">
        <v>843</v>
      </c>
      <c r="F8" s="183" t="str">
        <f>'Stavební rozpočet'!H6</f>
        <v> </v>
      </c>
      <c r="G8" s="175"/>
      <c r="H8" s="185" t="s">
        <v>986</v>
      </c>
      <c r="I8" s="184" t="s">
        <v>270</v>
      </c>
      <c r="J8" s="5"/>
    </row>
    <row r="9" spans="1:10" ht="12.75">
      <c r="A9" s="174"/>
      <c r="B9" s="175"/>
      <c r="C9" s="175"/>
      <c r="D9" s="175"/>
      <c r="E9" s="175"/>
      <c r="F9" s="175"/>
      <c r="G9" s="175"/>
      <c r="H9" s="175"/>
      <c r="I9" s="181"/>
      <c r="J9" s="5"/>
    </row>
    <row r="10" spans="1:10" ht="12.75">
      <c r="A10" s="182" t="s">
        <v>4</v>
      </c>
      <c r="B10" s="175"/>
      <c r="C10" s="183">
        <f>'Stavební rozpočet'!D8</f>
        <v>8016112</v>
      </c>
      <c r="D10" s="175"/>
      <c r="E10" s="183" t="s">
        <v>864</v>
      </c>
      <c r="F10" s="183" t="str">
        <f>'Stavební rozpočet'!J8</f>
        <v> </v>
      </c>
      <c r="G10" s="175"/>
      <c r="H10" s="185" t="s">
        <v>987</v>
      </c>
      <c r="I10" s="188" t="str">
        <f>'Stavební rozpočet'!H8</f>
        <v>19.09.2022</v>
      </c>
      <c r="J10" s="5"/>
    </row>
    <row r="11" spans="1:10" ht="12.75">
      <c r="A11" s="186"/>
      <c r="B11" s="187"/>
      <c r="C11" s="187"/>
      <c r="D11" s="187"/>
      <c r="E11" s="187"/>
      <c r="F11" s="187"/>
      <c r="G11" s="187"/>
      <c r="H11" s="187"/>
      <c r="I11" s="189"/>
      <c r="J11" s="5"/>
    </row>
    <row r="12" spans="1:9" ht="23.25" customHeight="1">
      <c r="A12" s="190" t="s">
        <v>949</v>
      </c>
      <c r="B12" s="191"/>
      <c r="C12" s="191"/>
      <c r="D12" s="191"/>
      <c r="E12" s="191"/>
      <c r="F12" s="191"/>
      <c r="G12" s="191"/>
      <c r="H12" s="191"/>
      <c r="I12" s="191"/>
    </row>
    <row r="13" spans="1:10" ht="26.25" customHeight="1">
      <c r="A13" s="37" t="s">
        <v>950</v>
      </c>
      <c r="B13" s="192" t="s">
        <v>961</v>
      </c>
      <c r="C13" s="193"/>
      <c r="D13" s="37" t="s">
        <v>964</v>
      </c>
      <c r="E13" s="192" t="s">
        <v>973</v>
      </c>
      <c r="F13" s="193"/>
      <c r="G13" s="37" t="s">
        <v>974</v>
      </c>
      <c r="H13" s="192" t="s">
        <v>988</v>
      </c>
      <c r="I13" s="193"/>
      <c r="J13" s="5"/>
    </row>
    <row r="14" spans="1:10" ht="15" customHeight="1">
      <c r="A14" s="38" t="s">
        <v>951</v>
      </c>
      <c r="B14" s="42" t="s">
        <v>962</v>
      </c>
      <c r="C14" s="45"/>
      <c r="D14" s="194" t="s">
        <v>965</v>
      </c>
      <c r="E14" s="195"/>
      <c r="F14" s="45">
        <v>0</v>
      </c>
      <c r="G14" s="194" t="s">
        <v>822</v>
      </c>
      <c r="H14" s="195"/>
      <c r="I14" s="46"/>
      <c r="J14" s="5"/>
    </row>
    <row r="15" spans="1:10" ht="15" customHeight="1">
      <c r="A15" s="39"/>
      <c r="B15" s="42" t="s">
        <v>868</v>
      </c>
      <c r="C15" s="45"/>
      <c r="D15" s="194" t="s">
        <v>966</v>
      </c>
      <c r="E15" s="195"/>
      <c r="F15" s="45">
        <v>0</v>
      </c>
      <c r="G15" s="194" t="s">
        <v>975</v>
      </c>
      <c r="H15" s="195"/>
      <c r="I15" s="46" t="s">
        <v>881</v>
      </c>
      <c r="J15" s="5"/>
    </row>
    <row r="16" spans="1:10" ht="15" customHeight="1">
      <c r="A16" s="38" t="s">
        <v>952</v>
      </c>
      <c r="B16" s="42" t="s">
        <v>962</v>
      </c>
      <c r="C16" s="45"/>
      <c r="D16" s="194" t="s">
        <v>967</v>
      </c>
      <c r="E16" s="195"/>
      <c r="F16" s="45">
        <v>0</v>
      </c>
      <c r="G16" s="194" t="s">
        <v>839</v>
      </c>
      <c r="H16" s="195"/>
      <c r="I16" s="46" t="s">
        <v>881</v>
      </c>
      <c r="J16" s="5"/>
    </row>
    <row r="17" spans="1:10" ht="15" customHeight="1">
      <c r="A17" s="39"/>
      <c r="B17" s="42" t="s">
        <v>868</v>
      </c>
      <c r="C17" s="45"/>
      <c r="D17" s="194"/>
      <c r="E17" s="195"/>
      <c r="F17" s="46"/>
      <c r="G17" s="194" t="s">
        <v>976</v>
      </c>
      <c r="H17" s="195"/>
      <c r="I17" s="46" t="s">
        <v>881</v>
      </c>
      <c r="J17" s="5"/>
    </row>
    <row r="18" spans="1:10" ht="15" customHeight="1">
      <c r="A18" s="38" t="s">
        <v>953</v>
      </c>
      <c r="B18" s="42" t="s">
        <v>962</v>
      </c>
      <c r="C18" s="45"/>
      <c r="D18" s="194"/>
      <c r="E18" s="195"/>
      <c r="F18" s="46"/>
      <c r="G18" s="194" t="s">
        <v>745</v>
      </c>
      <c r="H18" s="195"/>
      <c r="I18" s="46" t="s">
        <v>881</v>
      </c>
      <c r="J18" s="5"/>
    </row>
    <row r="19" spans="1:10" ht="15" customHeight="1">
      <c r="A19" s="39"/>
      <c r="B19" s="42" t="s">
        <v>868</v>
      </c>
      <c r="C19" s="45"/>
      <c r="D19" s="194"/>
      <c r="E19" s="195"/>
      <c r="F19" s="46"/>
      <c r="G19" s="194" t="s">
        <v>977</v>
      </c>
      <c r="H19" s="195"/>
      <c r="I19" s="46" t="s">
        <v>881</v>
      </c>
      <c r="J19" s="5"/>
    </row>
    <row r="20" spans="1:10" ht="15" customHeight="1">
      <c r="A20" s="196" t="s">
        <v>768</v>
      </c>
      <c r="B20" s="197"/>
      <c r="C20" s="45"/>
      <c r="D20" s="194"/>
      <c r="E20" s="195"/>
      <c r="F20" s="46"/>
      <c r="G20" s="194"/>
      <c r="H20" s="195"/>
      <c r="I20" s="46"/>
      <c r="J20" s="5"/>
    </row>
    <row r="21" spans="1:10" ht="15" customHeight="1">
      <c r="A21" s="196" t="s">
        <v>954</v>
      </c>
      <c r="B21" s="197"/>
      <c r="C21" s="45"/>
      <c r="D21" s="194"/>
      <c r="E21" s="195"/>
      <c r="F21" s="46"/>
      <c r="G21" s="194"/>
      <c r="H21" s="195"/>
      <c r="I21" s="46"/>
      <c r="J21" s="5"/>
    </row>
    <row r="22" spans="1:10" ht="16.5" customHeight="1">
      <c r="A22" s="196" t="s">
        <v>955</v>
      </c>
      <c r="B22" s="197"/>
      <c r="C22" s="45"/>
      <c r="D22" s="196" t="s">
        <v>968</v>
      </c>
      <c r="E22" s="197"/>
      <c r="F22" s="45">
        <f>SUM(F14:F21)</f>
        <v>0</v>
      </c>
      <c r="G22" s="196" t="s">
        <v>978</v>
      </c>
      <c r="H22" s="197"/>
      <c r="I22" s="45">
        <f>SUM(I14:I21)</f>
        <v>0</v>
      </c>
      <c r="J22" s="5"/>
    </row>
    <row r="23" spans="1:10" ht="15" customHeight="1">
      <c r="A23" s="8"/>
      <c r="B23" s="8"/>
      <c r="C23" s="44"/>
      <c r="D23" s="196" t="s">
        <v>969</v>
      </c>
      <c r="E23" s="197"/>
      <c r="F23" s="47">
        <v>0</v>
      </c>
      <c r="G23" s="196" t="s">
        <v>979</v>
      </c>
      <c r="H23" s="197"/>
      <c r="I23" s="45">
        <v>0</v>
      </c>
      <c r="J23" s="5"/>
    </row>
    <row r="24" spans="3:10" ht="15" customHeight="1">
      <c r="C24" s="156"/>
      <c r="D24" s="8"/>
      <c r="E24" s="8"/>
      <c r="F24" s="48"/>
      <c r="G24" s="196" t="s">
        <v>980</v>
      </c>
      <c r="H24" s="197"/>
      <c r="I24" s="45">
        <v>0</v>
      </c>
      <c r="J24" s="5"/>
    </row>
    <row r="25" spans="6:10" ht="15" customHeight="1">
      <c r="F25" s="35"/>
      <c r="G25" s="196" t="s">
        <v>981</v>
      </c>
      <c r="H25" s="197"/>
      <c r="I25" s="45">
        <v>0</v>
      </c>
      <c r="J25" s="5"/>
    </row>
    <row r="26" spans="1:9" ht="12.75">
      <c r="A26" s="33"/>
      <c r="B26" s="33"/>
      <c r="C26" s="33"/>
      <c r="G26" s="8"/>
      <c r="H26" s="8"/>
      <c r="I26" s="8"/>
    </row>
    <row r="27" spans="1:9" ht="15" customHeight="1">
      <c r="A27" s="198" t="s">
        <v>956</v>
      </c>
      <c r="B27" s="199"/>
      <c r="C27" s="49">
        <f>SUM('Stavební rozpočet'!AI12:AI474)</f>
        <v>0</v>
      </c>
      <c r="D27" s="32"/>
      <c r="E27" s="33"/>
      <c r="F27" s="33"/>
      <c r="G27" s="33"/>
      <c r="H27" s="33"/>
      <c r="I27" s="33"/>
    </row>
    <row r="28" spans="1:10" ht="15" customHeight="1">
      <c r="A28" s="198" t="s">
        <v>957</v>
      </c>
      <c r="B28" s="199"/>
      <c r="C28" s="49">
        <f>SUM('Stavební rozpočet'!AK12:AK474)</f>
        <v>0</v>
      </c>
      <c r="D28" s="198" t="s">
        <v>970</v>
      </c>
      <c r="E28" s="199"/>
      <c r="F28" s="49">
        <f>ROUND(C28*(15/100),2)</f>
        <v>0</v>
      </c>
      <c r="G28" s="198" t="s">
        <v>982</v>
      </c>
      <c r="H28" s="199"/>
      <c r="I28" s="49">
        <f>SUM(C27:C29)</f>
        <v>0</v>
      </c>
      <c r="J28" s="5"/>
    </row>
    <row r="29" spans="1:10" ht="15" customHeight="1">
      <c r="A29" s="198" t="s">
        <v>958</v>
      </c>
      <c r="B29" s="199"/>
      <c r="C29" s="49">
        <f>'Stavební rozpočet'!K12+'Stavební rozpočet'!K454+'Stavební rozpočet'!K476</f>
        <v>0</v>
      </c>
      <c r="D29" s="198" t="s">
        <v>971</v>
      </c>
      <c r="E29" s="199"/>
      <c r="F29" s="49">
        <f>ROUND(C29*(21/100),2)</f>
        <v>0</v>
      </c>
      <c r="G29" s="198" t="s">
        <v>983</v>
      </c>
      <c r="H29" s="199"/>
      <c r="I29" s="49">
        <f>SUM(F28:F29)+I28</f>
        <v>0</v>
      </c>
      <c r="J29" s="5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203" t="s">
        <v>959</v>
      </c>
      <c r="B31" s="204"/>
      <c r="C31" s="205"/>
      <c r="D31" s="203" t="s">
        <v>972</v>
      </c>
      <c r="E31" s="204"/>
      <c r="F31" s="205"/>
      <c r="G31" s="203" t="s">
        <v>984</v>
      </c>
      <c r="H31" s="204"/>
      <c r="I31" s="205"/>
      <c r="J31" s="25"/>
    </row>
    <row r="32" spans="1:10" ht="14.25" customHeight="1">
      <c r="A32" s="200"/>
      <c r="B32" s="201"/>
      <c r="C32" s="202"/>
      <c r="D32" s="200"/>
      <c r="E32" s="201"/>
      <c r="F32" s="202"/>
      <c r="G32" s="200"/>
      <c r="H32" s="201"/>
      <c r="I32" s="202"/>
      <c r="J32" s="25"/>
    </row>
    <row r="33" spans="1:10" ht="14.25" customHeight="1">
      <c r="A33" s="200"/>
      <c r="B33" s="201"/>
      <c r="C33" s="202"/>
      <c r="D33" s="200"/>
      <c r="E33" s="201"/>
      <c r="F33" s="202"/>
      <c r="G33" s="200"/>
      <c r="H33" s="201"/>
      <c r="I33" s="202"/>
      <c r="J33" s="25"/>
    </row>
    <row r="34" spans="1:10" ht="14.25" customHeight="1">
      <c r="A34" s="200"/>
      <c r="B34" s="201"/>
      <c r="C34" s="202"/>
      <c r="D34" s="200"/>
      <c r="E34" s="201"/>
      <c r="F34" s="202"/>
      <c r="G34" s="200"/>
      <c r="H34" s="201"/>
      <c r="I34" s="202"/>
      <c r="J34" s="25"/>
    </row>
    <row r="35" spans="1:10" ht="14.25" customHeight="1">
      <c r="A35" s="207" t="s">
        <v>960</v>
      </c>
      <c r="B35" s="208"/>
      <c r="C35" s="209"/>
      <c r="D35" s="207" t="s">
        <v>960</v>
      </c>
      <c r="E35" s="208"/>
      <c r="F35" s="209"/>
      <c r="G35" s="207" t="s">
        <v>960</v>
      </c>
      <c r="H35" s="208"/>
      <c r="I35" s="209"/>
      <c r="J35" s="25"/>
    </row>
    <row r="36" spans="1:9" ht="11.25" customHeight="1">
      <c r="A36" s="41" t="s">
        <v>271</v>
      </c>
      <c r="B36" s="43"/>
      <c r="C36" s="43"/>
      <c r="D36" s="43"/>
      <c r="E36" s="43"/>
      <c r="F36" s="43"/>
      <c r="G36" s="43"/>
      <c r="H36" s="43"/>
      <c r="I36" s="43"/>
    </row>
    <row r="37" spans="1:9" ht="12.75">
      <c r="A37" s="183"/>
      <c r="B37" s="175"/>
      <c r="C37" s="175"/>
      <c r="D37" s="175"/>
      <c r="E37" s="175"/>
      <c r="F37" s="175"/>
      <c r="G37" s="175"/>
      <c r="H37" s="175"/>
      <c r="I37" s="175"/>
    </row>
  </sheetData>
  <sheetProtection/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8"/>
  <sheetViews>
    <sheetView tabSelected="1" zoomScale="145" zoomScaleNormal="145" zoomScalePageLayoutView="0" workbookViewId="0" topLeftCell="A1">
      <pane ySplit="11" topLeftCell="A688" activePane="bottomLeft" state="frozen"/>
      <selection pane="topLeft" activeCell="A1" sqref="A1"/>
      <selection pane="bottomLeft" activeCell="E692" sqref="E69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76.140625" style="0" customWidth="1"/>
    <col min="6" max="6" width="6.7109375" style="66" customWidth="1"/>
    <col min="7" max="7" width="12.8515625" style="66" customWidth="1"/>
    <col min="8" max="8" width="12.00390625" style="66" customWidth="1"/>
    <col min="9" max="10" width="14.28125" style="0" customWidth="1"/>
    <col min="11" max="11" width="14.28125" style="56" customWidth="1"/>
    <col min="12" max="13" width="11.7109375" style="0" customWidth="1"/>
    <col min="14" max="14" width="12.28125" style="0" bestFit="1" customWidth="1"/>
    <col min="15" max="23" width="11.57421875" style="0" customWidth="1"/>
    <col min="24" max="63" width="12.140625" style="0" hidden="1" customWidth="1"/>
  </cols>
  <sheetData>
    <row r="1" spans="1:13" ht="72.75" customHeight="1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4" ht="12.75">
      <c r="A2" s="172" t="s">
        <v>1</v>
      </c>
      <c r="B2" s="173"/>
      <c r="C2" s="173"/>
      <c r="D2" s="176" t="s">
        <v>989</v>
      </c>
      <c r="E2" s="177"/>
      <c r="F2" s="212" t="s">
        <v>841</v>
      </c>
      <c r="G2" s="173"/>
      <c r="H2" s="213" t="s">
        <v>6</v>
      </c>
      <c r="I2" s="179" t="s">
        <v>861</v>
      </c>
      <c r="J2" s="212" t="s">
        <v>867</v>
      </c>
      <c r="K2" s="173"/>
      <c r="L2" s="173"/>
      <c r="M2" s="173"/>
      <c r="N2" s="5"/>
    </row>
    <row r="3" spans="1:14" ht="12.75">
      <c r="A3" s="174"/>
      <c r="B3" s="175"/>
      <c r="C3" s="175"/>
      <c r="D3" s="178"/>
      <c r="E3" s="178"/>
      <c r="F3" s="175"/>
      <c r="G3" s="175"/>
      <c r="H3" s="214"/>
      <c r="I3" s="175"/>
      <c r="J3" s="175"/>
      <c r="K3" s="175"/>
      <c r="L3" s="175"/>
      <c r="M3" s="175"/>
      <c r="N3" s="5"/>
    </row>
    <row r="4" spans="1:14" ht="12.75">
      <c r="A4" s="182" t="s">
        <v>2</v>
      </c>
      <c r="B4" s="175"/>
      <c r="C4" s="175"/>
      <c r="D4" s="183" t="s">
        <v>990</v>
      </c>
      <c r="E4" s="175"/>
      <c r="F4" s="185" t="s">
        <v>842</v>
      </c>
      <c r="G4" s="175"/>
      <c r="H4" s="215" t="s">
        <v>857</v>
      </c>
      <c r="I4" s="183" t="s">
        <v>862</v>
      </c>
      <c r="J4" s="185" t="s">
        <v>1148</v>
      </c>
      <c r="K4" s="175"/>
      <c r="L4" s="175"/>
      <c r="M4" s="175"/>
      <c r="N4" s="5"/>
    </row>
    <row r="5" spans="1:14" ht="12.75">
      <c r="A5" s="174"/>
      <c r="B5" s="175"/>
      <c r="C5" s="175"/>
      <c r="D5" s="175"/>
      <c r="E5" s="175"/>
      <c r="F5" s="175"/>
      <c r="G5" s="175"/>
      <c r="H5" s="214"/>
      <c r="I5" s="175"/>
      <c r="J5" s="175"/>
      <c r="K5" s="175"/>
      <c r="L5" s="175"/>
      <c r="M5" s="175"/>
      <c r="N5" s="5"/>
    </row>
    <row r="6" spans="1:14" ht="12.75">
      <c r="A6" s="182" t="s">
        <v>3</v>
      </c>
      <c r="B6" s="175"/>
      <c r="C6" s="175"/>
      <c r="D6" s="183" t="s">
        <v>551</v>
      </c>
      <c r="E6" s="175"/>
      <c r="F6" s="185" t="s">
        <v>843</v>
      </c>
      <c r="G6" s="175"/>
      <c r="H6" s="215" t="s">
        <v>6</v>
      </c>
      <c r="I6" s="183" t="s">
        <v>863</v>
      </c>
      <c r="J6" s="185"/>
      <c r="K6" s="175"/>
      <c r="L6" s="175"/>
      <c r="M6" s="175"/>
      <c r="N6" s="5"/>
    </row>
    <row r="7" spans="1:14" ht="12.75">
      <c r="A7" s="174"/>
      <c r="B7" s="175"/>
      <c r="C7" s="175"/>
      <c r="D7" s="175"/>
      <c r="E7" s="175"/>
      <c r="F7" s="175"/>
      <c r="G7" s="175"/>
      <c r="H7" s="214"/>
      <c r="I7" s="175"/>
      <c r="J7" s="175"/>
      <c r="K7" s="175"/>
      <c r="L7" s="175"/>
      <c r="M7" s="175"/>
      <c r="N7" s="5"/>
    </row>
    <row r="8" spans="1:14" ht="12.75">
      <c r="A8" s="182" t="s">
        <v>4</v>
      </c>
      <c r="B8" s="175"/>
      <c r="C8" s="175"/>
      <c r="D8" s="183">
        <v>8016112</v>
      </c>
      <c r="E8" s="175"/>
      <c r="F8" s="185" t="s">
        <v>844</v>
      </c>
      <c r="G8" s="175"/>
      <c r="H8" s="215" t="s">
        <v>858</v>
      </c>
      <c r="I8" s="183" t="s">
        <v>864</v>
      </c>
      <c r="J8" s="185" t="s">
        <v>867</v>
      </c>
      <c r="K8" s="175"/>
      <c r="L8" s="175"/>
      <c r="M8" s="175"/>
      <c r="N8" s="5"/>
    </row>
    <row r="9" spans="1:14" ht="12.75">
      <c r="A9" s="216"/>
      <c r="B9" s="217"/>
      <c r="C9" s="217"/>
      <c r="D9" s="217"/>
      <c r="E9" s="217"/>
      <c r="F9" s="217"/>
      <c r="G9" s="217"/>
      <c r="H9" s="218"/>
      <c r="I9" s="217"/>
      <c r="J9" s="217"/>
      <c r="K9" s="217"/>
      <c r="L9" s="217"/>
      <c r="M9" s="217"/>
      <c r="N9" s="5"/>
    </row>
    <row r="10" spans="1:63" ht="12.75">
      <c r="A10" s="1" t="s">
        <v>5</v>
      </c>
      <c r="B10" s="9" t="s">
        <v>272</v>
      </c>
      <c r="C10" s="50" t="s">
        <v>275</v>
      </c>
      <c r="D10" s="219" t="s">
        <v>1059</v>
      </c>
      <c r="E10" s="220"/>
      <c r="F10" s="15" t="s">
        <v>845</v>
      </c>
      <c r="G10" s="15" t="s">
        <v>856</v>
      </c>
      <c r="H10" s="19" t="s">
        <v>859</v>
      </c>
      <c r="I10" s="221" t="s">
        <v>865</v>
      </c>
      <c r="J10" s="222"/>
      <c r="K10" s="223"/>
      <c r="L10" s="221" t="s">
        <v>870</v>
      </c>
      <c r="M10" s="223"/>
      <c r="N10" s="25"/>
      <c r="BJ10" s="24" t="s">
        <v>944</v>
      </c>
      <c r="BK10" s="30" t="s">
        <v>947</v>
      </c>
    </row>
    <row r="11" spans="1:61" ht="12.75">
      <c r="A11" s="2" t="s">
        <v>6</v>
      </c>
      <c r="B11" s="10" t="s">
        <v>6</v>
      </c>
      <c r="C11" s="51" t="s">
        <v>6</v>
      </c>
      <c r="D11" s="224" t="s">
        <v>552</v>
      </c>
      <c r="E11" s="225"/>
      <c r="F11" s="60" t="s">
        <v>6</v>
      </c>
      <c r="G11" s="60" t="s">
        <v>6</v>
      </c>
      <c r="H11" s="20" t="s">
        <v>860</v>
      </c>
      <c r="I11" s="21" t="s">
        <v>866</v>
      </c>
      <c r="J11" s="22" t="s">
        <v>868</v>
      </c>
      <c r="K11" s="127" t="s">
        <v>869</v>
      </c>
      <c r="L11" s="21" t="s">
        <v>871</v>
      </c>
      <c r="M11" s="23" t="s">
        <v>869</v>
      </c>
      <c r="N11" s="25"/>
      <c r="Y11" s="24" t="s">
        <v>872</v>
      </c>
      <c r="Z11" s="24" t="s">
        <v>873</v>
      </c>
      <c r="AA11" s="24" t="s">
        <v>874</v>
      </c>
      <c r="AB11" s="24" t="s">
        <v>875</v>
      </c>
      <c r="AC11" s="24" t="s">
        <v>876</v>
      </c>
      <c r="AD11" s="24" t="s">
        <v>877</v>
      </c>
      <c r="AE11" s="24" t="s">
        <v>878</v>
      </c>
      <c r="AF11" s="24" t="s">
        <v>879</v>
      </c>
      <c r="AG11" s="24" t="s">
        <v>880</v>
      </c>
      <c r="BG11" s="24" t="s">
        <v>941</v>
      </c>
      <c r="BH11" s="24" t="s">
        <v>942</v>
      </c>
      <c r="BI11" s="24" t="s">
        <v>943</v>
      </c>
    </row>
    <row r="12" spans="1:14" s="68" customFormat="1" ht="12.75">
      <c r="A12" s="88"/>
      <c r="B12" s="89" t="s">
        <v>273</v>
      </c>
      <c r="C12" s="90"/>
      <c r="D12" s="226" t="s">
        <v>553</v>
      </c>
      <c r="E12" s="227"/>
      <c r="F12" s="91" t="s">
        <v>6</v>
      </c>
      <c r="G12" s="91" t="s">
        <v>6</v>
      </c>
      <c r="H12" s="91" t="s">
        <v>6</v>
      </c>
      <c r="I12" s="92">
        <f>I13+I23+I36+I41+I47+I52+I93+I107+I126+I129+I136+I155+I159+I168+I171+I206+I219+I222+I227+I232+I241+I244+I247+I263+I269+I297+I302+I308+I311+I316+I328+I364+I368+I449+I451</f>
        <v>0</v>
      </c>
      <c r="J12" s="92">
        <f>J13+J23+J36+J41+J47+J52+J93+J107+J126+J129+J136+J155+J159+J168+J171+J206+J219+J222+J227+J232+J241+J244+J247+J263+J269+J297+J302+J308+J311+J316+J328+J364+J368+J449+J451</f>
        <v>0</v>
      </c>
      <c r="K12" s="92">
        <f>K13+K23+K36+K41+K47+K52+K93+K107+K126+K129+K136+K155+K159+K168+K171+K206+K219+K222+K227+K232+K241+K244+K247+K263+K269+K297+K302+K308+K311+K316+K328+K364+K368+K449+K451</f>
        <v>0</v>
      </c>
      <c r="L12" s="93"/>
      <c r="M12" s="92">
        <f>M13+M23+M36+M41+M47+M52+M93+M107+M126+M129+M136+M155+M159+M168+M171+M206+M219+M222+M227+M232+M241+M244+M247+M263+M269+M297+M302+M308+M311+M316+M328+M364+M368+M449+M451</f>
        <v>107.3757443029</v>
      </c>
      <c r="N12" s="155"/>
    </row>
    <row r="13" spans="1:46" ht="12.75">
      <c r="A13" s="3"/>
      <c r="B13" s="11" t="s">
        <v>273</v>
      </c>
      <c r="C13" s="52" t="s">
        <v>34</v>
      </c>
      <c r="D13" s="228" t="s">
        <v>554</v>
      </c>
      <c r="E13" s="229"/>
      <c r="F13" s="61" t="s">
        <v>6</v>
      </c>
      <c r="G13" s="61" t="s">
        <v>6</v>
      </c>
      <c r="H13" s="61" t="s">
        <v>6</v>
      </c>
      <c r="I13" s="31">
        <f>SUM(I14:I22)</f>
        <v>0</v>
      </c>
      <c r="J13" s="31">
        <f>SUM(J14:J22)</f>
        <v>0</v>
      </c>
      <c r="K13" s="128">
        <f>SUM(K14:K22)</f>
        <v>0</v>
      </c>
      <c r="L13" s="24"/>
      <c r="M13" s="31">
        <f>SUM(M14:M22)</f>
        <v>3.5565703</v>
      </c>
      <c r="N13" s="5"/>
      <c r="AH13" s="24" t="s">
        <v>273</v>
      </c>
      <c r="AR13" s="31">
        <f>SUM(AI14:AI22)</f>
        <v>0</v>
      </c>
      <c r="AS13" s="31">
        <f>SUM(AJ14:AJ22)</f>
        <v>0</v>
      </c>
      <c r="AT13" s="31">
        <f>SUM(AK14:AK22)</f>
        <v>0</v>
      </c>
    </row>
    <row r="14" spans="1:63" ht="12.75">
      <c r="A14" s="4" t="s">
        <v>7</v>
      </c>
      <c r="B14" s="12" t="s">
        <v>273</v>
      </c>
      <c r="C14" s="53" t="s">
        <v>276</v>
      </c>
      <c r="D14" s="230" t="s">
        <v>555</v>
      </c>
      <c r="E14" s="231"/>
      <c r="F14" s="62" t="s">
        <v>846</v>
      </c>
      <c r="G14" s="104">
        <v>6.9</v>
      </c>
      <c r="H14" s="104"/>
      <c r="I14" s="16">
        <f>G14*AN14</f>
        <v>0</v>
      </c>
      <c r="J14" s="16">
        <f>G14*AO14</f>
        <v>0</v>
      </c>
      <c r="K14" s="126">
        <f>G14*H14</f>
        <v>0</v>
      </c>
      <c r="L14" s="16">
        <v>0.00037</v>
      </c>
      <c r="M14" s="16">
        <f>G14*L14</f>
        <v>0.002553</v>
      </c>
      <c r="N14" s="5"/>
      <c r="Y14" s="26">
        <f>IF(AP14="5",BI14,0)</f>
        <v>0</v>
      </c>
      <c r="AA14" s="26">
        <f>IF(AP14="1",BG14,0)</f>
        <v>0</v>
      </c>
      <c r="AB14" s="26">
        <f>IF(AP14="1",BH14,0)</f>
        <v>0</v>
      </c>
      <c r="AC14" s="26">
        <f>IF(AP14="7",BG14,0)</f>
        <v>0</v>
      </c>
      <c r="AD14" s="26">
        <f>IF(AP14="7",BH14,0)</f>
        <v>0</v>
      </c>
      <c r="AE14" s="26">
        <f>IF(AP14="2",BG14,0)</f>
        <v>0</v>
      </c>
      <c r="AF14" s="26">
        <f>IF(AP14="2",BH14,0)</f>
        <v>0</v>
      </c>
      <c r="AG14" s="26">
        <f>IF(AP14="0",BI14,0)</f>
        <v>0</v>
      </c>
      <c r="AH14" s="24" t="s">
        <v>273</v>
      </c>
      <c r="AI14" s="16">
        <f>IF(AM14=0,K14,0)</f>
        <v>0</v>
      </c>
      <c r="AJ14" s="16">
        <f>IF(AM14=15,K14,0)</f>
        <v>0</v>
      </c>
      <c r="AK14" s="16">
        <f>IF(AM14=21,K14,0)</f>
        <v>0</v>
      </c>
      <c r="AM14" s="26">
        <v>15</v>
      </c>
      <c r="AN14" s="26">
        <f>H14*0.651568271458085</f>
        <v>0</v>
      </c>
      <c r="AO14" s="26">
        <f>H14*(1-0.651568271458085)</f>
        <v>0</v>
      </c>
      <c r="AP14" s="27" t="s">
        <v>7</v>
      </c>
      <c r="AU14" s="26">
        <f>AV14+AW14</f>
        <v>0</v>
      </c>
      <c r="AV14" s="26">
        <f>G14*AN14</f>
        <v>0</v>
      </c>
      <c r="AW14" s="26">
        <f>G14*AO14</f>
        <v>0</v>
      </c>
      <c r="AX14" s="29" t="s">
        <v>882</v>
      </c>
      <c r="AY14" s="29" t="s">
        <v>922</v>
      </c>
      <c r="AZ14" s="24" t="s">
        <v>937</v>
      </c>
      <c r="BA14" s="24" t="s">
        <v>939</v>
      </c>
      <c r="BB14" s="26">
        <f>AV14+AW14</f>
        <v>0</v>
      </c>
      <c r="BC14" s="26">
        <f>H14/(100-BD14)*100</f>
        <v>0</v>
      </c>
      <c r="BD14" s="26">
        <v>0</v>
      </c>
      <c r="BE14" s="26">
        <f>M14</f>
        <v>0.002553</v>
      </c>
      <c r="BG14" s="16">
        <f>G14*AN14</f>
        <v>0</v>
      </c>
      <c r="BH14" s="16">
        <f>G14*AO14</f>
        <v>0</v>
      </c>
      <c r="BI14" s="16">
        <f>G14*H14</f>
        <v>0</v>
      </c>
      <c r="BJ14" s="16" t="s">
        <v>945</v>
      </c>
      <c r="BK14" s="26">
        <v>28</v>
      </c>
    </row>
    <row r="15" spans="1:14" s="58" customFormat="1" ht="12.75">
      <c r="A15" s="57"/>
      <c r="C15" s="59" t="s">
        <v>991</v>
      </c>
      <c r="D15" s="232" t="s">
        <v>1701</v>
      </c>
      <c r="E15" s="233"/>
      <c r="F15" s="233"/>
      <c r="G15" s="233"/>
      <c r="H15" s="233"/>
      <c r="I15" s="233"/>
      <c r="J15" s="233"/>
      <c r="K15" s="233"/>
      <c r="L15" s="233"/>
      <c r="M15" s="233"/>
      <c r="N15" s="57"/>
    </row>
    <row r="16" spans="1:63" ht="12.75">
      <c r="A16" s="4" t="s">
        <v>8</v>
      </c>
      <c r="B16" s="12" t="s">
        <v>273</v>
      </c>
      <c r="C16" s="53" t="s">
        <v>277</v>
      </c>
      <c r="D16" s="230" t="s">
        <v>556</v>
      </c>
      <c r="E16" s="231"/>
      <c r="F16" s="62" t="s">
        <v>846</v>
      </c>
      <c r="G16" s="104">
        <v>6</v>
      </c>
      <c r="H16" s="104"/>
      <c r="I16" s="16">
        <f>G16*AN16</f>
        <v>0</v>
      </c>
      <c r="J16" s="16">
        <f>G16*AO16</f>
        <v>0</v>
      </c>
      <c r="K16" s="126">
        <f>G16*H16</f>
        <v>0</v>
      </c>
      <c r="L16" s="16">
        <v>0.00037</v>
      </c>
      <c r="M16" s="16">
        <f>G16*L16</f>
        <v>0.0022199999999999998</v>
      </c>
      <c r="N16" s="5"/>
      <c r="Y16" s="26">
        <f>IF(AP16="5",BI16,0)</f>
        <v>0</v>
      </c>
      <c r="AA16" s="26">
        <f>IF(AP16="1",BG16,0)</f>
        <v>0</v>
      </c>
      <c r="AB16" s="26">
        <f>IF(AP16="1",BH16,0)</f>
        <v>0</v>
      </c>
      <c r="AC16" s="26">
        <f>IF(AP16="7",BG16,0)</f>
        <v>0</v>
      </c>
      <c r="AD16" s="26">
        <f>IF(AP16="7",BH16,0)</f>
        <v>0</v>
      </c>
      <c r="AE16" s="26">
        <f>IF(AP16="2",BG16,0)</f>
        <v>0</v>
      </c>
      <c r="AF16" s="26">
        <f>IF(AP16="2",BH16,0)</f>
        <v>0</v>
      </c>
      <c r="AG16" s="26">
        <f>IF(AP16="0",BI16,0)</f>
        <v>0</v>
      </c>
      <c r="AH16" s="24" t="s">
        <v>273</v>
      </c>
      <c r="AI16" s="16">
        <f>IF(AM16=0,K16,0)</f>
        <v>0</v>
      </c>
      <c r="AJ16" s="16">
        <f>IF(AM16=15,K16,0)</f>
        <v>0</v>
      </c>
      <c r="AK16" s="16">
        <f>IF(AM16=21,K16,0)</f>
        <v>0</v>
      </c>
      <c r="AM16" s="26">
        <v>15</v>
      </c>
      <c r="AN16" s="26">
        <f>H16*0.651568724701214</f>
        <v>0</v>
      </c>
      <c r="AO16" s="26">
        <f>H16*(1-0.651568724701214)</f>
        <v>0</v>
      </c>
      <c r="AP16" s="27" t="s">
        <v>7</v>
      </c>
      <c r="AU16" s="26">
        <f>AV16+AW16</f>
        <v>0</v>
      </c>
      <c r="AV16" s="26">
        <f>G16*AN16</f>
        <v>0</v>
      </c>
      <c r="AW16" s="26">
        <f>G16*AO16</f>
        <v>0</v>
      </c>
      <c r="AX16" s="29" t="s">
        <v>882</v>
      </c>
      <c r="AY16" s="29" t="s">
        <v>922</v>
      </c>
      <c r="AZ16" s="24" t="s">
        <v>937</v>
      </c>
      <c r="BB16" s="26">
        <f>AV16+AW16</f>
        <v>0</v>
      </c>
      <c r="BC16" s="26">
        <f>H16/(100-BD16)*100</f>
        <v>0</v>
      </c>
      <c r="BD16" s="26">
        <v>0</v>
      </c>
      <c r="BE16" s="26">
        <f>M16</f>
        <v>0.0022199999999999998</v>
      </c>
      <c r="BG16" s="16">
        <f>G16*AN16</f>
        <v>0</v>
      </c>
      <c r="BH16" s="16">
        <f>G16*AO16</f>
        <v>0</v>
      </c>
      <c r="BI16" s="16">
        <f>G16*H16</f>
        <v>0</v>
      </c>
      <c r="BJ16" s="16" t="s">
        <v>945</v>
      </c>
      <c r="BK16" s="26">
        <v>28</v>
      </c>
    </row>
    <row r="17" spans="1:14" s="58" customFormat="1" ht="12.75">
      <c r="A17" s="57"/>
      <c r="C17" s="59" t="s">
        <v>991</v>
      </c>
      <c r="D17" s="232" t="s">
        <v>1701</v>
      </c>
      <c r="E17" s="233"/>
      <c r="F17" s="233"/>
      <c r="G17" s="233"/>
      <c r="H17" s="233"/>
      <c r="I17" s="233"/>
      <c r="J17" s="233"/>
      <c r="K17" s="233"/>
      <c r="L17" s="233"/>
      <c r="M17" s="233"/>
      <c r="N17" s="57"/>
    </row>
    <row r="18" spans="1:63" ht="12.75">
      <c r="A18" s="4" t="s">
        <v>9</v>
      </c>
      <c r="B18" s="12" t="s">
        <v>273</v>
      </c>
      <c r="C18" s="53" t="s">
        <v>278</v>
      </c>
      <c r="D18" s="230" t="s">
        <v>557</v>
      </c>
      <c r="E18" s="231"/>
      <c r="F18" s="62" t="s">
        <v>846</v>
      </c>
      <c r="G18" s="104">
        <v>57.395</v>
      </c>
      <c r="H18" s="104"/>
      <c r="I18" s="16">
        <f>G18*AN18</f>
        <v>0</v>
      </c>
      <c r="J18" s="16">
        <f>G18*AO18</f>
        <v>0</v>
      </c>
      <c r="K18" s="126">
        <f>G18*H18</f>
        <v>0</v>
      </c>
      <c r="L18" s="16">
        <v>0.00054</v>
      </c>
      <c r="M18" s="16">
        <f>G18*L18</f>
        <v>0.0309933</v>
      </c>
      <c r="N18" s="5"/>
      <c r="Y18" s="26">
        <f>IF(AP18="5",BI18,0)</f>
        <v>0</v>
      </c>
      <c r="AA18" s="26">
        <f>IF(AP18="1",BG18,0)</f>
        <v>0</v>
      </c>
      <c r="AB18" s="26">
        <f>IF(AP18="1",BH18,0)</f>
        <v>0</v>
      </c>
      <c r="AC18" s="26">
        <f>IF(AP18="7",BG18,0)</f>
        <v>0</v>
      </c>
      <c r="AD18" s="26">
        <f>IF(AP18="7",BH18,0)</f>
        <v>0</v>
      </c>
      <c r="AE18" s="26">
        <f>IF(AP18="2",BG18,0)</f>
        <v>0</v>
      </c>
      <c r="AF18" s="26">
        <f>IF(AP18="2",BH18,0)</f>
        <v>0</v>
      </c>
      <c r="AG18" s="26">
        <f>IF(AP18="0",BI18,0)</f>
        <v>0</v>
      </c>
      <c r="AH18" s="24" t="s">
        <v>273</v>
      </c>
      <c r="AI18" s="16">
        <f>IF(AM18=0,K18,0)</f>
        <v>0</v>
      </c>
      <c r="AJ18" s="16">
        <f>IF(AM18=15,K18,0)</f>
        <v>0</v>
      </c>
      <c r="AK18" s="16">
        <f>IF(AM18=21,K18,0)</f>
        <v>0</v>
      </c>
      <c r="AM18" s="26">
        <v>15</v>
      </c>
      <c r="AN18" s="26">
        <f>H18*0.734479276524824</f>
        <v>0</v>
      </c>
      <c r="AO18" s="26">
        <f>H18*(1-0.734479276524824)</f>
        <v>0</v>
      </c>
      <c r="AP18" s="27" t="s">
        <v>7</v>
      </c>
      <c r="AU18" s="26">
        <f>AV18+AW18</f>
        <v>0</v>
      </c>
      <c r="AV18" s="26">
        <f>G18*AN18</f>
        <v>0</v>
      </c>
      <c r="AW18" s="26">
        <f>G18*AO18</f>
        <v>0</v>
      </c>
      <c r="AX18" s="29" t="s">
        <v>882</v>
      </c>
      <c r="AY18" s="29" t="s">
        <v>922</v>
      </c>
      <c r="AZ18" s="24" t="s">
        <v>937</v>
      </c>
      <c r="BB18" s="26">
        <f>AV18+AW18</f>
        <v>0</v>
      </c>
      <c r="BC18" s="26">
        <f>H18/(100-BD18)*100</f>
        <v>0</v>
      </c>
      <c r="BD18" s="26">
        <v>0</v>
      </c>
      <c r="BE18" s="26">
        <f>M18</f>
        <v>0.0309933</v>
      </c>
      <c r="BG18" s="16">
        <f>G18*AN18</f>
        <v>0</v>
      </c>
      <c r="BH18" s="16">
        <f>G18*AO18</f>
        <v>0</v>
      </c>
      <c r="BI18" s="16">
        <f>G18*H18</f>
        <v>0</v>
      </c>
      <c r="BJ18" s="16" t="s">
        <v>945</v>
      </c>
      <c r="BK18" s="26">
        <v>28</v>
      </c>
    </row>
    <row r="19" spans="1:14" s="58" customFormat="1" ht="12.75">
      <c r="A19" s="57"/>
      <c r="C19" s="59" t="s">
        <v>991</v>
      </c>
      <c r="D19" s="232" t="s">
        <v>1701</v>
      </c>
      <c r="E19" s="233"/>
      <c r="F19" s="233"/>
      <c r="G19" s="233"/>
      <c r="H19" s="233"/>
      <c r="I19" s="233"/>
      <c r="J19" s="233"/>
      <c r="K19" s="233"/>
      <c r="L19" s="233"/>
      <c r="M19" s="233"/>
      <c r="N19" s="57"/>
    </row>
    <row r="20" spans="1:63" ht="12.75">
      <c r="A20" s="4" t="s">
        <v>10</v>
      </c>
      <c r="B20" s="12" t="s">
        <v>273</v>
      </c>
      <c r="C20" s="53" t="s">
        <v>279</v>
      </c>
      <c r="D20" s="230" t="s">
        <v>558</v>
      </c>
      <c r="E20" s="231"/>
      <c r="F20" s="62" t="s">
        <v>846</v>
      </c>
      <c r="G20" s="104">
        <v>102.2</v>
      </c>
      <c r="H20" s="104"/>
      <c r="I20" s="16">
        <f>G20*AN20</f>
        <v>0</v>
      </c>
      <c r="J20" s="16">
        <f>G20*AO20</f>
        <v>0</v>
      </c>
      <c r="K20" s="126">
        <f>G20*H20</f>
        <v>0</v>
      </c>
      <c r="L20" s="16">
        <v>0.00071</v>
      </c>
      <c r="M20" s="16">
        <f>G20*L20</f>
        <v>0.072562</v>
      </c>
      <c r="N20" s="5"/>
      <c r="Y20" s="26">
        <f>IF(AP20="5",BI20,0)</f>
        <v>0</v>
      </c>
      <c r="AA20" s="26">
        <f>IF(AP20="1",BG20,0)</f>
        <v>0</v>
      </c>
      <c r="AB20" s="26">
        <f>IF(AP20="1",BH20,0)</f>
        <v>0</v>
      </c>
      <c r="AC20" s="26">
        <f>IF(AP20="7",BG20,0)</f>
        <v>0</v>
      </c>
      <c r="AD20" s="26">
        <f>IF(AP20="7",BH20,0)</f>
        <v>0</v>
      </c>
      <c r="AE20" s="26">
        <f>IF(AP20="2",BG20,0)</f>
        <v>0</v>
      </c>
      <c r="AF20" s="26">
        <f>IF(AP20="2",BH20,0)</f>
        <v>0</v>
      </c>
      <c r="AG20" s="26">
        <f>IF(AP20="0",BI20,0)</f>
        <v>0</v>
      </c>
      <c r="AH20" s="24" t="s">
        <v>273</v>
      </c>
      <c r="AI20" s="16">
        <f>IF(AM20=0,K20,0)</f>
        <v>0</v>
      </c>
      <c r="AJ20" s="16">
        <f>IF(AM20=15,K20,0)</f>
        <v>0</v>
      </c>
      <c r="AK20" s="16">
        <f>IF(AM20=21,K20,0)</f>
        <v>0</v>
      </c>
      <c r="AM20" s="26">
        <v>15</v>
      </c>
      <c r="AN20" s="26">
        <f>H20*0.784227281497202</f>
        <v>0</v>
      </c>
      <c r="AO20" s="26">
        <f>H20*(1-0.784227281497202)</f>
        <v>0</v>
      </c>
      <c r="AP20" s="27" t="s">
        <v>7</v>
      </c>
      <c r="AU20" s="26">
        <f>AV20+AW20</f>
        <v>0</v>
      </c>
      <c r="AV20" s="26">
        <f>G20*AN20</f>
        <v>0</v>
      </c>
      <c r="AW20" s="26">
        <f>G20*AO20</f>
        <v>0</v>
      </c>
      <c r="AX20" s="29" t="s">
        <v>882</v>
      </c>
      <c r="AY20" s="29" t="s">
        <v>922</v>
      </c>
      <c r="AZ20" s="24" t="s">
        <v>937</v>
      </c>
      <c r="BB20" s="26">
        <f>AV20+AW20</f>
        <v>0</v>
      </c>
      <c r="BC20" s="26">
        <f>H20/(100-BD20)*100</f>
        <v>0</v>
      </c>
      <c r="BD20" s="26">
        <v>0</v>
      </c>
      <c r="BE20" s="26">
        <f>M20</f>
        <v>0.072562</v>
      </c>
      <c r="BG20" s="16">
        <f>G20*AN20</f>
        <v>0</v>
      </c>
      <c r="BH20" s="16">
        <f>G20*AO20</f>
        <v>0</v>
      </c>
      <c r="BI20" s="16">
        <f>G20*H20</f>
        <v>0</v>
      </c>
      <c r="BJ20" s="16" t="s">
        <v>945</v>
      </c>
      <c r="BK20" s="26">
        <v>28</v>
      </c>
    </row>
    <row r="21" spans="1:14" s="58" customFormat="1" ht="12.75">
      <c r="A21" s="57"/>
      <c r="C21" s="59" t="s">
        <v>991</v>
      </c>
      <c r="D21" s="232" t="s">
        <v>1701</v>
      </c>
      <c r="E21" s="233"/>
      <c r="F21" s="233"/>
      <c r="G21" s="233"/>
      <c r="H21" s="233"/>
      <c r="I21" s="233"/>
      <c r="J21" s="233"/>
      <c r="K21" s="233"/>
      <c r="L21" s="233"/>
      <c r="M21" s="233"/>
      <c r="N21" s="57"/>
    </row>
    <row r="22" spans="1:63" ht="12.75">
      <c r="A22" s="4" t="s">
        <v>11</v>
      </c>
      <c r="B22" s="12" t="s">
        <v>273</v>
      </c>
      <c r="C22" s="53" t="s">
        <v>280</v>
      </c>
      <c r="D22" s="230" t="s">
        <v>559</v>
      </c>
      <c r="E22" s="231"/>
      <c r="F22" s="62" t="s">
        <v>847</v>
      </c>
      <c r="G22" s="104">
        <v>54.734</v>
      </c>
      <c r="H22" s="104"/>
      <c r="I22" s="16">
        <f>G22*AN22</f>
        <v>0</v>
      </c>
      <c r="J22" s="16">
        <f>G22*AO22</f>
        <v>0</v>
      </c>
      <c r="K22" s="126">
        <f>G22*H22</f>
        <v>0</v>
      </c>
      <c r="L22" s="16">
        <v>0.063</v>
      </c>
      <c r="M22" s="16">
        <f>G22*L22</f>
        <v>3.448242</v>
      </c>
      <c r="N22" s="5"/>
      <c r="Y22" s="26">
        <f>IF(AP22="5",BI22,0)</f>
        <v>0</v>
      </c>
      <c r="AA22" s="26">
        <f>IF(AP22="1",BG22,0)</f>
        <v>0</v>
      </c>
      <c r="AB22" s="26">
        <f>IF(AP22="1",BH22,0)</f>
        <v>0</v>
      </c>
      <c r="AC22" s="26">
        <f>IF(AP22="7",BG22,0)</f>
        <v>0</v>
      </c>
      <c r="AD22" s="26">
        <f>IF(AP22="7",BH22,0)</f>
        <v>0</v>
      </c>
      <c r="AE22" s="26">
        <f>IF(AP22="2",BG22,0)</f>
        <v>0</v>
      </c>
      <c r="AF22" s="26">
        <f>IF(AP22="2",BH22,0)</f>
        <v>0</v>
      </c>
      <c r="AG22" s="26">
        <f>IF(AP22="0",BI22,0)</f>
        <v>0</v>
      </c>
      <c r="AH22" s="24" t="s">
        <v>273</v>
      </c>
      <c r="AI22" s="16">
        <f>IF(AM22=0,K22,0)</f>
        <v>0</v>
      </c>
      <c r="AJ22" s="16">
        <f>IF(AM22=15,K22,0)</f>
        <v>0</v>
      </c>
      <c r="AK22" s="16">
        <f>IF(AM22=21,K22,0)</f>
        <v>0</v>
      </c>
      <c r="AM22" s="26">
        <v>15</v>
      </c>
      <c r="AN22" s="26">
        <f>H22*0</f>
        <v>0</v>
      </c>
      <c r="AO22" s="26">
        <f>H22*(1-0)</f>
        <v>0</v>
      </c>
      <c r="AP22" s="27" t="s">
        <v>7</v>
      </c>
      <c r="AU22" s="26">
        <f>AV22+AW22</f>
        <v>0</v>
      </c>
      <c r="AV22" s="26">
        <f>G22*AN22</f>
        <v>0</v>
      </c>
      <c r="AW22" s="26">
        <f>G22*AO22</f>
        <v>0</v>
      </c>
      <c r="AX22" s="29" t="s">
        <v>882</v>
      </c>
      <c r="AY22" s="29" t="s">
        <v>922</v>
      </c>
      <c r="AZ22" s="24" t="s">
        <v>937</v>
      </c>
      <c r="BB22" s="26">
        <f>AV22+AW22</f>
        <v>0</v>
      </c>
      <c r="BC22" s="26">
        <f>H22/(100-BD22)*100</f>
        <v>0</v>
      </c>
      <c r="BD22" s="26">
        <v>0</v>
      </c>
      <c r="BE22" s="26">
        <f>M22</f>
        <v>3.448242</v>
      </c>
      <c r="BG22" s="16">
        <f>G22*AN22</f>
        <v>0</v>
      </c>
      <c r="BH22" s="16">
        <f>G22*AO22</f>
        <v>0</v>
      </c>
      <c r="BI22" s="16">
        <f>G22*H22</f>
        <v>0</v>
      </c>
      <c r="BJ22" s="16" t="s">
        <v>945</v>
      </c>
      <c r="BK22" s="26">
        <v>28</v>
      </c>
    </row>
    <row r="23" spans="1:46" ht="12.75">
      <c r="A23" s="3"/>
      <c r="B23" s="11" t="s">
        <v>273</v>
      </c>
      <c r="C23" s="52" t="s">
        <v>37</v>
      </c>
      <c r="D23" s="228" t="s">
        <v>560</v>
      </c>
      <c r="E23" s="229"/>
      <c r="F23" s="61" t="s">
        <v>6</v>
      </c>
      <c r="G23" s="61" t="s">
        <v>6</v>
      </c>
      <c r="H23" s="61" t="s">
        <v>6</v>
      </c>
      <c r="I23" s="31">
        <f>SUM(I24:I35)</f>
        <v>0</v>
      </c>
      <c r="J23" s="31">
        <f>SUM(J24:J35)</f>
        <v>0</v>
      </c>
      <c r="K23" s="128">
        <f>SUM(K24:K35)</f>
        <v>0</v>
      </c>
      <c r="L23" s="24"/>
      <c r="M23" s="31">
        <f>SUM(M24:M35)</f>
        <v>7.7060300572</v>
      </c>
      <c r="N23" s="5"/>
      <c r="AH23" s="24" t="s">
        <v>273</v>
      </c>
      <c r="AR23" s="31">
        <f>SUM(AI24:AI35)</f>
        <v>0</v>
      </c>
      <c r="AS23" s="31">
        <f>SUM(AJ24:AJ35)</f>
        <v>0</v>
      </c>
      <c r="AT23" s="31">
        <f>SUM(AK24:AK35)</f>
        <v>0</v>
      </c>
    </row>
    <row r="24" spans="1:63" ht="12.75">
      <c r="A24" s="4" t="s">
        <v>12</v>
      </c>
      <c r="B24" s="12" t="s">
        <v>273</v>
      </c>
      <c r="C24" s="53" t="s">
        <v>281</v>
      </c>
      <c r="D24" s="230" t="s">
        <v>561</v>
      </c>
      <c r="E24" s="231"/>
      <c r="F24" s="62" t="s">
        <v>847</v>
      </c>
      <c r="G24" s="104">
        <v>38.562</v>
      </c>
      <c r="H24" s="104"/>
      <c r="I24" s="16">
        <f aca="true" t="shared" si="0" ref="I24:I33">G24*AN24</f>
        <v>0</v>
      </c>
      <c r="J24" s="16">
        <f aca="true" t="shared" si="1" ref="J24:J33">G24*AO24</f>
        <v>0</v>
      </c>
      <c r="K24" s="126">
        <f aca="true" t="shared" si="2" ref="K24:K33">G24*H24</f>
        <v>0</v>
      </c>
      <c r="L24" s="16">
        <v>0.03767</v>
      </c>
      <c r="M24" s="16">
        <f aca="true" t="shared" si="3" ref="M24:M33">G24*L24</f>
        <v>1.45263054</v>
      </c>
      <c r="N24" s="5"/>
      <c r="Y24" s="26">
        <f aca="true" t="shared" si="4" ref="Y24:Y33">IF(AP24="5",BI24,0)</f>
        <v>0</v>
      </c>
      <c r="AA24" s="26">
        <f aca="true" t="shared" si="5" ref="AA24:AA33">IF(AP24="1",BG24,0)</f>
        <v>0</v>
      </c>
      <c r="AB24" s="26">
        <f aca="true" t="shared" si="6" ref="AB24:AB33">IF(AP24="1",BH24,0)</f>
        <v>0</v>
      </c>
      <c r="AC24" s="26">
        <f aca="true" t="shared" si="7" ref="AC24:AC33">IF(AP24="7",BG24,0)</f>
        <v>0</v>
      </c>
      <c r="AD24" s="26">
        <f aca="true" t="shared" si="8" ref="AD24:AD33">IF(AP24="7",BH24,0)</f>
        <v>0</v>
      </c>
      <c r="AE24" s="26">
        <f aca="true" t="shared" si="9" ref="AE24:AE33">IF(AP24="2",BG24,0)</f>
        <v>0</v>
      </c>
      <c r="AF24" s="26">
        <f aca="true" t="shared" si="10" ref="AF24:AF33">IF(AP24="2",BH24,0)</f>
        <v>0</v>
      </c>
      <c r="AG24" s="26">
        <f aca="true" t="shared" si="11" ref="AG24:AG33">IF(AP24="0",BI24,0)</f>
        <v>0</v>
      </c>
      <c r="AH24" s="24" t="s">
        <v>273</v>
      </c>
      <c r="AI24" s="16">
        <f aca="true" t="shared" si="12" ref="AI24:AI33">IF(AM24=0,K24,0)</f>
        <v>0</v>
      </c>
      <c r="AJ24" s="16">
        <f aca="true" t="shared" si="13" ref="AJ24:AJ33">IF(AM24=15,K24,0)</f>
        <v>0</v>
      </c>
      <c r="AK24" s="16">
        <f aca="true" t="shared" si="14" ref="AK24:AK33">IF(AM24=21,K24,0)</f>
        <v>0</v>
      </c>
      <c r="AM24" s="26">
        <v>15</v>
      </c>
      <c r="AN24" s="26">
        <f>H24*0.262684859009612</f>
        <v>0</v>
      </c>
      <c r="AO24" s="26">
        <f>H24*(1-0.262684859009612)</f>
        <v>0</v>
      </c>
      <c r="AP24" s="27" t="s">
        <v>7</v>
      </c>
      <c r="AU24" s="26">
        <f aca="true" t="shared" si="15" ref="AU24:AU33">AV24+AW24</f>
        <v>0</v>
      </c>
      <c r="AV24" s="26">
        <f aca="true" t="shared" si="16" ref="AV24:AV33">G24*AN24</f>
        <v>0</v>
      </c>
      <c r="AW24" s="26">
        <f aca="true" t="shared" si="17" ref="AW24:AW33">G24*AO24</f>
        <v>0</v>
      </c>
      <c r="AX24" s="29" t="s">
        <v>883</v>
      </c>
      <c r="AY24" s="29" t="s">
        <v>923</v>
      </c>
      <c r="AZ24" s="24" t="s">
        <v>937</v>
      </c>
      <c r="BB24" s="26">
        <f aca="true" t="shared" si="18" ref="BB24:BB33">AV24+AW24</f>
        <v>0</v>
      </c>
      <c r="BC24" s="26">
        <f aca="true" t="shared" si="19" ref="BC24:BC33">H24/(100-BD24)*100</f>
        <v>0</v>
      </c>
      <c r="BD24" s="26">
        <v>0</v>
      </c>
      <c r="BE24" s="26">
        <f aca="true" t="shared" si="20" ref="BE24:BE33">M24</f>
        <v>1.45263054</v>
      </c>
      <c r="BG24" s="16">
        <f aca="true" t="shared" si="21" ref="BG24:BG33">G24*AN24</f>
        <v>0</v>
      </c>
      <c r="BH24" s="16">
        <f aca="true" t="shared" si="22" ref="BH24:BH33">G24*AO24</f>
        <v>0</v>
      </c>
      <c r="BI24" s="16">
        <f aca="true" t="shared" si="23" ref="BI24:BI33">G24*H24</f>
        <v>0</v>
      </c>
      <c r="BJ24" s="16" t="s">
        <v>945</v>
      </c>
      <c r="BK24" s="26">
        <v>31</v>
      </c>
    </row>
    <row r="25" spans="1:63" ht="12.75">
      <c r="A25" s="4" t="s">
        <v>13</v>
      </c>
      <c r="B25" s="12" t="s">
        <v>273</v>
      </c>
      <c r="C25" s="53" t="s">
        <v>282</v>
      </c>
      <c r="D25" s="230" t="s">
        <v>992</v>
      </c>
      <c r="E25" s="231"/>
      <c r="F25" s="62" t="s">
        <v>847</v>
      </c>
      <c r="G25" s="104">
        <v>124.39</v>
      </c>
      <c r="H25" s="104"/>
      <c r="I25" s="16">
        <f t="shared" si="0"/>
        <v>0</v>
      </c>
      <c r="J25" s="16">
        <f t="shared" si="1"/>
        <v>0</v>
      </c>
      <c r="K25" s="126">
        <f t="shared" si="2"/>
        <v>0</v>
      </c>
      <c r="L25" s="16">
        <v>0</v>
      </c>
      <c r="M25" s="16">
        <f t="shared" si="3"/>
        <v>0</v>
      </c>
      <c r="N25" s="5"/>
      <c r="Y25" s="26">
        <f t="shared" si="4"/>
        <v>0</v>
      </c>
      <c r="AA25" s="26">
        <f t="shared" si="5"/>
        <v>0</v>
      </c>
      <c r="AB25" s="26">
        <f t="shared" si="6"/>
        <v>0</v>
      </c>
      <c r="AC25" s="26">
        <f t="shared" si="7"/>
        <v>0</v>
      </c>
      <c r="AD25" s="26">
        <f t="shared" si="8"/>
        <v>0</v>
      </c>
      <c r="AE25" s="26">
        <f t="shared" si="9"/>
        <v>0</v>
      </c>
      <c r="AF25" s="26">
        <f t="shared" si="10"/>
        <v>0</v>
      </c>
      <c r="AG25" s="26">
        <f t="shared" si="11"/>
        <v>0</v>
      </c>
      <c r="AH25" s="24" t="s">
        <v>273</v>
      </c>
      <c r="AI25" s="16">
        <f t="shared" si="12"/>
        <v>0</v>
      </c>
      <c r="AJ25" s="16">
        <f t="shared" si="13"/>
        <v>0</v>
      </c>
      <c r="AK25" s="16">
        <f t="shared" si="14"/>
        <v>0</v>
      </c>
      <c r="AM25" s="26">
        <v>15</v>
      </c>
      <c r="AN25" s="26">
        <f>H25*0.00141398245010215</f>
        <v>0</v>
      </c>
      <c r="AO25" s="26">
        <f>H25*(1-0.00141398245010215)</f>
        <v>0</v>
      </c>
      <c r="AP25" s="27" t="s">
        <v>7</v>
      </c>
      <c r="AU25" s="26">
        <f t="shared" si="15"/>
        <v>0</v>
      </c>
      <c r="AV25" s="26">
        <f t="shared" si="16"/>
        <v>0</v>
      </c>
      <c r="AW25" s="26">
        <f t="shared" si="17"/>
        <v>0</v>
      </c>
      <c r="AX25" s="29" t="s">
        <v>883</v>
      </c>
      <c r="AY25" s="29" t="s">
        <v>923</v>
      </c>
      <c r="AZ25" s="24" t="s">
        <v>937</v>
      </c>
      <c r="BB25" s="26">
        <f t="shared" si="18"/>
        <v>0</v>
      </c>
      <c r="BC25" s="26">
        <f t="shared" si="19"/>
        <v>0</v>
      </c>
      <c r="BD25" s="26">
        <v>0</v>
      </c>
      <c r="BE25" s="26">
        <f t="shared" si="20"/>
        <v>0</v>
      </c>
      <c r="BG25" s="16">
        <f t="shared" si="21"/>
        <v>0</v>
      </c>
      <c r="BH25" s="16">
        <f t="shared" si="22"/>
        <v>0</v>
      </c>
      <c r="BI25" s="16">
        <f t="shared" si="23"/>
        <v>0</v>
      </c>
      <c r="BJ25" s="16" t="s">
        <v>945</v>
      </c>
      <c r="BK25" s="26">
        <v>31</v>
      </c>
    </row>
    <row r="26" spans="1:63" ht="12.75">
      <c r="A26" s="4" t="s">
        <v>14</v>
      </c>
      <c r="B26" s="12" t="s">
        <v>273</v>
      </c>
      <c r="C26" s="53" t="s">
        <v>283</v>
      </c>
      <c r="D26" s="230" t="s">
        <v>562</v>
      </c>
      <c r="E26" s="231"/>
      <c r="F26" s="62" t="s">
        <v>848</v>
      </c>
      <c r="G26" s="104">
        <v>0.29967</v>
      </c>
      <c r="H26" s="104"/>
      <c r="I26" s="16">
        <f t="shared" si="0"/>
        <v>0</v>
      </c>
      <c r="J26" s="16">
        <f t="shared" si="1"/>
        <v>0</v>
      </c>
      <c r="K26" s="126">
        <f t="shared" si="2"/>
        <v>0</v>
      </c>
      <c r="L26" s="16">
        <v>1.62836</v>
      </c>
      <c r="M26" s="16">
        <f t="shared" si="3"/>
        <v>0.4879706412</v>
      </c>
      <c r="N26" s="5"/>
      <c r="Y26" s="26">
        <f t="shared" si="4"/>
        <v>0</v>
      </c>
      <c r="AA26" s="26">
        <f t="shared" si="5"/>
        <v>0</v>
      </c>
      <c r="AB26" s="26">
        <f t="shared" si="6"/>
        <v>0</v>
      </c>
      <c r="AC26" s="26">
        <f t="shared" si="7"/>
        <v>0</v>
      </c>
      <c r="AD26" s="26">
        <f t="shared" si="8"/>
        <v>0</v>
      </c>
      <c r="AE26" s="26">
        <f t="shared" si="9"/>
        <v>0</v>
      </c>
      <c r="AF26" s="26">
        <f t="shared" si="10"/>
        <v>0</v>
      </c>
      <c r="AG26" s="26">
        <f t="shared" si="11"/>
        <v>0</v>
      </c>
      <c r="AH26" s="24" t="s">
        <v>273</v>
      </c>
      <c r="AI26" s="16">
        <f t="shared" si="12"/>
        <v>0</v>
      </c>
      <c r="AJ26" s="16">
        <f t="shared" si="13"/>
        <v>0</v>
      </c>
      <c r="AK26" s="16">
        <f t="shared" si="14"/>
        <v>0</v>
      </c>
      <c r="AM26" s="26">
        <v>15</v>
      </c>
      <c r="AN26" s="26">
        <f>H26*0.781559124331551</f>
        <v>0</v>
      </c>
      <c r="AO26" s="26">
        <f>H26*(1-0.781559124331551)</f>
        <v>0</v>
      </c>
      <c r="AP26" s="27" t="s">
        <v>7</v>
      </c>
      <c r="AU26" s="26">
        <f t="shared" si="15"/>
        <v>0</v>
      </c>
      <c r="AV26" s="26">
        <f t="shared" si="16"/>
        <v>0</v>
      </c>
      <c r="AW26" s="26">
        <f t="shared" si="17"/>
        <v>0</v>
      </c>
      <c r="AX26" s="29" t="s">
        <v>883</v>
      </c>
      <c r="AY26" s="29" t="s">
        <v>923</v>
      </c>
      <c r="AZ26" s="24" t="s">
        <v>937</v>
      </c>
      <c r="BB26" s="26">
        <f t="shared" si="18"/>
        <v>0</v>
      </c>
      <c r="BC26" s="26">
        <f t="shared" si="19"/>
        <v>0</v>
      </c>
      <c r="BD26" s="26">
        <v>0</v>
      </c>
      <c r="BE26" s="26">
        <f t="shared" si="20"/>
        <v>0.4879706412</v>
      </c>
      <c r="BG26" s="16">
        <f t="shared" si="21"/>
        <v>0</v>
      </c>
      <c r="BH26" s="16">
        <f t="shared" si="22"/>
        <v>0</v>
      </c>
      <c r="BI26" s="16">
        <f t="shared" si="23"/>
        <v>0</v>
      </c>
      <c r="BJ26" s="16" t="s">
        <v>945</v>
      </c>
      <c r="BK26" s="26">
        <v>31</v>
      </c>
    </row>
    <row r="27" spans="1:63" ht="12.75">
      <c r="A27" s="4" t="s">
        <v>15</v>
      </c>
      <c r="B27" s="12" t="s">
        <v>273</v>
      </c>
      <c r="C27" s="53" t="s">
        <v>284</v>
      </c>
      <c r="D27" s="230" t="s">
        <v>563</v>
      </c>
      <c r="E27" s="231"/>
      <c r="F27" s="62" t="s">
        <v>848</v>
      </c>
      <c r="G27" s="104">
        <v>1.80615</v>
      </c>
      <c r="H27" s="104"/>
      <c r="I27" s="16">
        <f t="shared" si="0"/>
        <v>0</v>
      </c>
      <c r="J27" s="16">
        <f t="shared" si="1"/>
        <v>0</v>
      </c>
      <c r="K27" s="126">
        <f t="shared" si="2"/>
        <v>0</v>
      </c>
      <c r="L27" s="16">
        <v>1.84144</v>
      </c>
      <c r="M27" s="16">
        <f t="shared" si="3"/>
        <v>3.3259168559999996</v>
      </c>
      <c r="N27" s="5"/>
      <c r="Y27" s="26">
        <f t="shared" si="4"/>
        <v>0</v>
      </c>
      <c r="AA27" s="26">
        <f t="shared" si="5"/>
        <v>0</v>
      </c>
      <c r="AB27" s="26">
        <f t="shared" si="6"/>
        <v>0</v>
      </c>
      <c r="AC27" s="26">
        <f t="shared" si="7"/>
        <v>0</v>
      </c>
      <c r="AD27" s="26">
        <f t="shared" si="8"/>
        <v>0</v>
      </c>
      <c r="AE27" s="26">
        <f t="shared" si="9"/>
        <v>0</v>
      </c>
      <c r="AF27" s="26">
        <f t="shared" si="10"/>
        <v>0</v>
      </c>
      <c r="AG27" s="26">
        <f t="shared" si="11"/>
        <v>0</v>
      </c>
      <c r="AH27" s="24" t="s">
        <v>273</v>
      </c>
      <c r="AI27" s="16">
        <f t="shared" si="12"/>
        <v>0</v>
      </c>
      <c r="AJ27" s="16">
        <f t="shared" si="13"/>
        <v>0</v>
      </c>
      <c r="AK27" s="16">
        <f t="shared" si="14"/>
        <v>0</v>
      </c>
      <c r="AM27" s="26">
        <v>15</v>
      </c>
      <c r="AN27" s="26">
        <f>H27*0.757024268685711</f>
        <v>0</v>
      </c>
      <c r="AO27" s="26">
        <f>H27*(1-0.757024268685711)</f>
        <v>0</v>
      </c>
      <c r="AP27" s="27" t="s">
        <v>7</v>
      </c>
      <c r="AU27" s="26">
        <f t="shared" si="15"/>
        <v>0</v>
      </c>
      <c r="AV27" s="26">
        <f t="shared" si="16"/>
        <v>0</v>
      </c>
      <c r="AW27" s="26">
        <f t="shared" si="17"/>
        <v>0</v>
      </c>
      <c r="AX27" s="29" t="s">
        <v>883</v>
      </c>
      <c r="AY27" s="29" t="s">
        <v>923</v>
      </c>
      <c r="AZ27" s="24" t="s">
        <v>937</v>
      </c>
      <c r="BB27" s="26">
        <f t="shared" si="18"/>
        <v>0</v>
      </c>
      <c r="BC27" s="26">
        <f t="shared" si="19"/>
        <v>0</v>
      </c>
      <c r="BD27" s="26">
        <v>0</v>
      </c>
      <c r="BE27" s="26">
        <f t="shared" si="20"/>
        <v>3.3259168559999996</v>
      </c>
      <c r="BG27" s="16">
        <f t="shared" si="21"/>
        <v>0</v>
      </c>
      <c r="BH27" s="16">
        <f t="shared" si="22"/>
        <v>0</v>
      </c>
      <c r="BI27" s="16">
        <f t="shared" si="23"/>
        <v>0</v>
      </c>
      <c r="BJ27" s="16" t="s">
        <v>945</v>
      </c>
      <c r="BK27" s="26">
        <v>31</v>
      </c>
    </row>
    <row r="28" spans="1:63" ht="12.75">
      <c r="A28" s="4" t="s">
        <v>16</v>
      </c>
      <c r="B28" s="12" t="s">
        <v>273</v>
      </c>
      <c r="C28" s="53" t="s">
        <v>285</v>
      </c>
      <c r="D28" s="230" t="s">
        <v>564</v>
      </c>
      <c r="E28" s="231"/>
      <c r="F28" s="62" t="s">
        <v>847</v>
      </c>
      <c r="G28" s="104">
        <v>19.33</v>
      </c>
      <c r="H28" s="104"/>
      <c r="I28" s="16">
        <f t="shared" si="0"/>
        <v>0</v>
      </c>
      <c r="J28" s="16">
        <f t="shared" si="1"/>
        <v>0</v>
      </c>
      <c r="K28" s="126">
        <f t="shared" si="2"/>
        <v>0</v>
      </c>
      <c r="L28" s="16">
        <v>0.03767</v>
      </c>
      <c r="M28" s="16">
        <f t="shared" si="3"/>
        <v>0.7281611</v>
      </c>
      <c r="N28" s="5"/>
      <c r="Y28" s="26">
        <f t="shared" si="4"/>
        <v>0</v>
      </c>
      <c r="AA28" s="26">
        <f t="shared" si="5"/>
        <v>0</v>
      </c>
      <c r="AB28" s="26">
        <f t="shared" si="6"/>
        <v>0</v>
      </c>
      <c r="AC28" s="26">
        <f t="shared" si="7"/>
        <v>0</v>
      </c>
      <c r="AD28" s="26">
        <f t="shared" si="8"/>
        <v>0</v>
      </c>
      <c r="AE28" s="26">
        <f t="shared" si="9"/>
        <v>0</v>
      </c>
      <c r="AF28" s="26">
        <f t="shared" si="10"/>
        <v>0</v>
      </c>
      <c r="AG28" s="26">
        <f t="shared" si="11"/>
        <v>0</v>
      </c>
      <c r="AH28" s="24" t="s">
        <v>273</v>
      </c>
      <c r="AI28" s="16">
        <f t="shared" si="12"/>
        <v>0</v>
      </c>
      <c r="AJ28" s="16">
        <f t="shared" si="13"/>
        <v>0</v>
      </c>
      <c r="AK28" s="16">
        <f t="shared" si="14"/>
        <v>0</v>
      </c>
      <c r="AM28" s="26">
        <v>15</v>
      </c>
      <c r="AN28" s="26">
        <f>H28*0.236408565159683</f>
        <v>0</v>
      </c>
      <c r="AO28" s="26">
        <f>H28*(1-0.236408565159683)</f>
        <v>0</v>
      </c>
      <c r="AP28" s="27" t="s">
        <v>7</v>
      </c>
      <c r="AU28" s="26">
        <f t="shared" si="15"/>
        <v>0</v>
      </c>
      <c r="AV28" s="26">
        <f t="shared" si="16"/>
        <v>0</v>
      </c>
      <c r="AW28" s="26">
        <f t="shared" si="17"/>
        <v>0</v>
      </c>
      <c r="AX28" s="29" t="s">
        <v>883</v>
      </c>
      <c r="AY28" s="29" t="s">
        <v>923</v>
      </c>
      <c r="AZ28" s="24" t="s">
        <v>937</v>
      </c>
      <c r="BB28" s="26">
        <f t="shared" si="18"/>
        <v>0</v>
      </c>
      <c r="BC28" s="26">
        <f t="shared" si="19"/>
        <v>0</v>
      </c>
      <c r="BD28" s="26">
        <v>0</v>
      </c>
      <c r="BE28" s="26">
        <f t="shared" si="20"/>
        <v>0.7281611</v>
      </c>
      <c r="BG28" s="16">
        <f t="shared" si="21"/>
        <v>0</v>
      </c>
      <c r="BH28" s="16">
        <f t="shared" si="22"/>
        <v>0</v>
      </c>
      <c r="BI28" s="16">
        <f t="shared" si="23"/>
        <v>0</v>
      </c>
      <c r="BJ28" s="16" t="s">
        <v>945</v>
      </c>
      <c r="BK28" s="26">
        <v>31</v>
      </c>
    </row>
    <row r="29" spans="1:63" ht="12.75">
      <c r="A29" s="4" t="s">
        <v>17</v>
      </c>
      <c r="B29" s="12" t="s">
        <v>273</v>
      </c>
      <c r="C29" s="53" t="s">
        <v>282</v>
      </c>
      <c r="D29" s="230" t="s">
        <v>565</v>
      </c>
      <c r="E29" s="231"/>
      <c r="F29" s="62" t="s">
        <v>847</v>
      </c>
      <c r="G29" s="104">
        <v>7.24</v>
      </c>
      <c r="H29" s="104"/>
      <c r="I29" s="16">
        <f t="shared" si="0"/>
        <v>0</v>
      </c>
      <c r="J29" s="16">
        <f t="shared" si="1"/>
        <v>0</v>
      </c>
      <c r="K29" s="126">
        <f t="shared" si="2"/>
        <v>0</v>
      </c>
      <c r="L29" s="16">
        <v>0.02757</v>
      </c>
      <c r="M29" s="16">
        <f t="shared" si="3"/>
        <v>0.1996068</v>
      </c>
      <c r="N29" s="5"/>
      <c r="Y29" s="26">
        <f t="shared" si="4"/>
        <v>0</v>
      </c>
      <c r="AA29" s="26">
        <f t="shared" si="5"/>
        <v>0</v>
      </c>
      <c r="AB29" s="26">
        <f t="shared" si="6"/>
        <v>0</v>
      </c>
      <c r="AC29" s="26">
        <f t="shared" si="7"/>
        <v>0</v>
      </c>
      <c r="AD29" s="26">
        <f t="shared" si="8"/>
        <v>0</v>
      </c>
      <c r="AE29" s="26">
        <f t="shared" si="9"/>
        <v>0</v>
      </c>
      <c r="AF29" s="26">
        <f t="shared" si="10"/>
        <v>0</v>
      </c>
      <c r="AG29" s="26">
        <f t="shared" si="11"/>
        <v>0</v>
      </c>
      <c r="AH29" s="24" t="s">
        <v>273</v>
      </c>
      <c r="AI29" s="16">
        <f t="shared" si="12"/>
        <v>0</v>
      </c>
      <c r="AJ29" s="16">
        <f t="shared" si="13"/>
        <v>0</v>
      </c>
      <c r="AK29" s="16">
        <f t="shared" si="14"/>
        <v>0</v>
      </c>
      <c r="AM29" s="26">
        <v>15</v>
      </c>
      <c r="AN29" s="26">
        <f>H29*0.488545558510195</f>
        <v>0</v>
      </c>
      <c r="AO29" s="26">
        <f>H29*(1-0.488545558510195)</f>
        <v>0</v>
      </c>
      <c r="AP29" s="27" t="s">
        <v>7</v>
      </c>
      <c r="AU29" s="26">
        <f t="shared" si="15"/>
        <v>0</v>
      </c>
      <c r="AV29" s="26">
        <f t="shared" si="16"/>
        <v>0</v>
      </c>
      <c r="AW29" s="26">
        <f t="shared" si="17"/>
        <v>0</v>
      </c>
      <c r="AX29" s="29" t="s">
        <v>883</v>
      </c>
      <c r="AY29" s="29" t="s">
        <v>923</v>
      </c>
      <c r="AZ29" s="24" t="s">
        <v>937</v>
      </c>
      <c r="BB29" s="26">
        <f t="shared" si="18"/>
        <v>0</v>
      </c>
      <c r="BC29" s="26">
        <f t="shared" si="19"/>
        <v>0</v>
      </c>
      <c r="BD29" s="26">
        <v>0</v>
      </c>
      <c r="BE29" s="26">
        <f t="shared" si="20"/>
        <v>0.1996068</v>
      </c>
      <c r="BG29" s="16">
        <f t="shared" si="21"/>
        <v>0</v>
      </c>
      <c r="BH29" s="16">
        <f t="shared" si="22"/>
        <v>0</v>
      </c>
      <c r="BI29" s="16">
        <f t="shared" si="23"/>
        <v>0</v>
      </c>
      <c r="BJ29" s="16" t="s">
        <v>945</v>
      </c>
      <c r="BK29" s="26">
        <v>31</v>
      </c>
    </row>
    <row r="30" spans="1:63" ht="12.75">
      <c r="A30" s="4" t="s">
        <v>18</v>
      </c>
      <c r="B30" s="12" t="s">
        <v>273</v>
      </c>
      <c r="C30" s="53" t="s">
        <v>286</v>
      </c>
      <c r="D30" s="230" t="s">
        <v>566</v>
      </c>
      <c r="E30" s="231"/>
      <c r="F30" s="62" t="s">
        <v>848</v>
      </c>
      <c r="G30" s="104">
        <v>0.516</v>
      </c>
      <c r="H30" s="104"/>
      <c r="I30" s="16">
        <f t="shared" si="0"/>
        <v>0</v>
      </c>
      <c r="J30" s="16">
        <f t="shared" si="1"/>
        <v>0</v>
      </c>
      <c r="K30" s="126">
        <f t="shared" si="2"/>
        <v>0</v>
      </c>
      <c r="L30" s="16">
        <v>0</v>
      </c>
      <c r="M30" s="16">
        <f t="shared" si="3"/>
        <v>0</v>
      </c>
      <c r="N30" s="5"/>
      <c r="Y30" s="26">
        <f t="shared" si="4"/>
        <v>0</v>
      </c>
      <c r="AA30" s="26">
        <f t="shared" si="5"/>
        <v>0</v>
      </c>
      <c r="AB30" s="26">
        <f t="shared" si="6"/>
        <v>0</v>
      </c>
      <c r="AC30" s="26">
        <f t="shared" si="7"/>
        <v>0</v>
      </c>
      <c r="AD30" s="26">
        <f t="shared" si="8"/>
        <v>0</v>
      </c>
      <c r="AE30" s="26">
        <f t="shared" si="9"/>
        <v>0</v>
      </c>
      <c r="AF30" s="26">
        <f t="shared" si="10"/>
        <v>0</v>
      </c>
      <c r="AG30" s="26">
        <f t="shared" si="11"/>
        <v>0</v>
      </c>
      <c r="AH30" s="24" t="s">
        <v>273</v>
      </c>
      <c r="AI30" s="16">
        <f t="shared" si="12"/>
        <v>0</v>
      </c>
      <c r="AJ30" s="16">
        <f t="shared" si="13"/>
        <v>0</v>
      </c>
      <c r="AK30" s="16">
        <f t="shared" si="14"/>
        <v>0</v>
      </c>
      <c r="AM30" s="26">
        <v>15</v>
      </c>
      <c r="AN30" s="26">
        <f>H30*0.0253001490312966</f>
        <v>0</v>
      </c>
      <c r="AO30" s="26">
        <f>H30*(1-0.0253001490312966)</f>
        <v>0</v>
      </c>
      <c r="AP30" s="27" t="s">
        <v>7</v>
      </c>
      <c r="AU30" s="26">
        <f t="shared" si="15"/>
        <v>0</v>
      </c>
      <c r="AV30" s="26">
        <f t="shared" si="16"/>
        <v>0</v>
      </c>
      <c r="AW30" s="26">
        <f t="shared" si="17"/>
        <v>0</v>
      </c>
      <c r="AX30" s="29" t="s">
        <v>883</v>
      </c>
      <c r="AY30" s="29" t="s">
        <v>923</v>
      </c>
      <c r="AZ30" s="24" t="s">
        <v>937</v>
      </c>
      <c r="BB30" s="26">
        <f t="shared" si="18"/>
        <v>0</v>
      </c>
      <c r="BC30" s="26">
        <f t="shared" si="19"/>
        <v>0</v>
      </c>
      <c r="BD30" s="26">
        <v>0</v>
      </c>
      <c r="BE30" s="26">
        <f t="shared" si="20"/>
        <v>0</v>
      </c>
      <c r="BG30" s="16">
        <f t="shared" si="21"/>
        <v>0</v>
      </c>
      <c r="BH30" s="16">
        <f t="shared" si="22"/>
        <v>0</v>
      </c>
      <c r="BI30" s="16">
        <f t="shared" si="23"/>
        <v>0</v>
      </c>
      <c r="BJ30" s="16" t="s">
        <v>945</v>
      </c>
      <c r="BK30" s="26">
        <v>31</v>
      </c>
    </row>
    <row r="31" spans="1:63" ht="12.75">
      <c r="A31" s="4" t="s">
        <v>19</v>
      </c>
      <c r="B31" s="12" t="s">
        <v>273</v>
      </c>
      <c r="C31" s="53" t="s">
        <v>287</v>
      </c>
      <c r="D31" s="230" t="s">
        <v>567</v>
      </c>
      <c r="E31" s="231"/>
      <c r="F31" s="62" t="s">
        <v>848</v>
      </c>
      <c r="G31" s="104">
        <v>0.516</v>
      </c>
      <c r="H31" s="104"/>
      <c r="I31" s="16">
        <f t="shared" si="0"/>
        <v>0</v>
      </c>
      <c r="J31" s="16">
        <f t="shared" si="1"/>
        <v>0</v>
      </c>
      <c r="K31" s="126">
        <f t="shared" si="2"/>
        <v>0</v>
      </c>
      <c r="L31" s="16">
        <v>2.52767</v>
      </c>
      <c r="M31" s="16">
        <f t="shared" si="3"/>
        <v>1.30427772</v>
      </c>
      <c r="N31" s="5"/>
      <c r="Y31" s="26">
        <f t="shared" si="4"/>
        <v>0</v>
      </c>
      <c r="AA31" s="26">
        <f t="shared" si="5"/>
        <v>0</v>
      </c>
      <c r="AB31" s="26">
        <f t="shared" si="6"/>
        <v>0</v>
      </c>
      <c r="AC31" s="26">
        <f t="shared" si="7"/>
        <v>0</v>
      </c>
      <c r="AD31" s="26">
        <f t="shared" si="8"/>
        <v>0</v>
      </c>
      <c r="AE31" s="26">
        <f t="shared" si="9"/>
        <v>0</v>
      </c>
      <c r="AF31" s="26">
        <f t="shared" si="10"/>
        <v>0</v>
      </c>
      <c r="AG31" s="26">
        <f t="shared" si="11"/>
        <v>0</v>
      </c>
      <c r="AH31" s="24" t="s">
        <v>273</v>
      </c>
      <c r="AI31" s="16">
        <f t="shared" si="12"/>
        <v>0</v>
      </c>
      <c r="AJ31" s="16">
        <f t="shared" si="13"/>
        <v>0</v>
      </c>
      <c r="AK31" s="16">
        <f t="shared" si="14"/>
        <v>0</v>
      </c>
      <c r="AM31" s="26">
        <v>15</v>
      </c>
      <c r="AN31" s="26">
        <f>H31*0.898207764158944</f>
        <v>0</v>
      </c>
      <c r="AO31" s="26">
        <f>H31*(1-0.898207764158944)</f>
        <v>0</v>
      </c>
      <c r="AP31" s="27" t="s">
        <v>7</v>
      </c>
      <c r="AU31" s="26">
        <f t="shared" si="15"/>
        <v>0</v>
      </c>
      <c r="AV31" s="26">
        <f t="shared" si="16"/>
        <v>0</v>
      </c>
      <c r="AW31" s="26">
        <f t="shared" si="17"/>
        <v>0</v>
      </c>
      <c r="AX31" s="29" t="s">
        <v>883</v>
      </c>
      <c r="AY31" s="29" t="s">
        <v>923</v>
      </c>
      <c r="AZ31" s="24" t="s">
        <v>937</v>
      </c>
      <c r="BB31" s="26">
        <f t="shared" si="18"/>
        <v>0</v>
      </c>
      <c r="BC31" s="26">
        <f t="shared" si="19"/>
        <v>0</v>
      </c>
      <c r="BD31" s="26">
        <v>0</v>
      </c>
      <c r="BE31" s="26">
        <f t="shared" si="20"/>
        <v>1.30427772</v>
      </c>
      <c r="BG31" s="16">
        <f t="shared" si="21"/>
        <v>0</v>
      </c>
      <c r="BH31" s="16">
        <f t="shared" si="22"/>
        <v>0</v>
      </c>
      <c r="BI31" s="16">
        <f t="shared" si="23"/>
        <v>0</v>
      </c>
      <c r="BJ31" s="16" t="s">
        <v>945</v>
      </c>
      <c r="BK31" s="26">
        <v>31</v>
      </c>
    </row>
    <row r="32" spans="1:63" ht="12.75">
      <c r="A32" s="4" t="s">
        <v>20</v>
      </c>
      <c r="B32" s="12" t="s">
        <v>273</v>
      </c>
      <c r="C32" s="53" t="s">
        <v>288</v>
      </c>
      <c r="D32" s="230" t="s">
        <v>568</v>
      </c>
      <c r="E32" s="231"/>
      <c r="F32" s="62" t="s">
        <v>847</v>
      </c>
      <c r="G32" s="104">
        <v>3.44</v>
      </c>
      <c r="H32" s="104"/>
      <c r="I32" s="16">
        <f t="shared" si="0"/>
        <v>0</v>
      </c>
      <c r="J32" s="16">
        <f t="shared" si="1"/>
        <v>0</v>
      </c>
      <c r="K32" s="126">
        <f t="shared" si="2"/>
        <v>0</v>
      </c>
      <c r="L32" s="16">
        <v>0.06031</v>
      </c>
      <c r="M32" s="16">
        <f t="shared" si="3"/>
        <v>0.2074664</v>
      </c>
      <c r="N32" s="5"/>
      <c r="Y32" s="26">
        <f t="shared" si="4"/>
        <v>0</v>
      </c>
      <c r="AA32" s="26">
        <f t="shared" si="5"/>
        <v>0</v>
      </c>
      <c r="AB32" s="26">
        <f t="shared" si="6"/>
        <v>0</v>
      </c>
      <c r="AC32" s="26">
        <f t="shared" si="7"/>
        <v>0</v>
      </c>
      <c r="AD32" s="26">
        <f t="shared" si="8"/>
        <v>0</v>
      </c>
      <c r="AE32" s="26">
        <f t="shared" si="9"/>
        <v>0</v>
      </c>
      <c r="AF32" s="26">
        <f t="shared" si="10"/>
        <v>0</v>
      </c>
      <c r="AG32" s="26">
        <f t="shared" si="11"/>
        <v>0</v>
      </c>
      <c r="AH32" s="24" t="s">
        <v>273</v>
      </c>
      <c r="AI32" s="16">
        <f t="shared" si="12"/>
        <v>0</v>
      </c>
      <c r="AJ32" s="16">
        <f t="shared" si="13"/>
        <v>0</v>
      </c>
      <c r="AK32" s="16">
        <f t="shared" si="14"/>
        <v>0</v>
      </c>
      <c r="AM32" s="26">
        <v>15</v>
      </c>
      <c r="AN32" s="26">
        <f>H32*0.493042699313228</f>
        <v>0</v>
      </c>
      <c r="AO32" s="26">
        <f>H32*(1-0.493042699313228)</f>
        <v>0</v>
      </c>
      <c r="AP32" s="27" t="s">
        <v>7</v>
      </c>
      <c r="AU32" s="26">
        <f t="shared" si="15"/>
        <v>0</v>
      </c>
      <c r="AV32" s="26">
        <f t="shared" si="16"/>
        <v>0</v>
      </c>
      <c r="AW32" s="26">
        <f t="shared" si="17"/>
        <v>0</v>
      </c>
      <c r="AX32" s="29" t="s">
        <v>883</v>
      </c>
      <c r="AY32" s="29" t="s">
        <v>923</v>
      </c>
      <c r="AZ32" s="24" t="s">
        <v>937</v>
      </c>
      <c r="BB32" s="26">
        <f t="shared" si="18"/>
        <v>0</v>
      </c>
      <c r="BC32" s="26">
        <f t="shared" si="19"/>
        <v>0</v>
      </c>
      <c r="BD32" s="26">
        <v>0</v>
      </c>
      <c r="BE32" s="26">
        <f t="shared" si="20"/>
        <v>0.2074664</v>
      </c>
      <c r="BG32" s="16">
        <f t="shared" si="21"/>
        <v>0</v>
      </c>
      <c r="BH32" s="16">
        <f t="shared" si="22"/>
        <v>0</v>
      </c>
      <c r="BI32" s="16">
        <f t="shared" si="23"/>
        <v>0</v>
      </c>
      <c r="BJ32" s="16" t="s">
        <v>945</v>
      </c>
      <c r="BK32" s="26">
        <v>31</v>
      </c>
    </row>
    <row r="33" spans="1:63" ht="12.75">
      <c r="A33" s="4" t="s">
        <v>21</v>
      </c>
      <c r="B33" s="12" t="s">
        <v>273</v>
      </c>
      <c r="C33" s="53" t="s">
        <v>289</v>
      </c>
      <c r="D33" s="230" t="s">
        <v>569</v>
      </c>
      <c r="E33" s="231"/>
      <c r="F33" s="62" t="s">
        <v>847</v>
      </c>
      <c r="G33" s="104">
        <v>3.44</v>
      </c>
      <c r="H33" s="104"/>
      <c r="I33" s="16">
        <f t="shared" si="0"/>
        <v>0</v>
      </c>
      <c r="J33" s="16">
        <f t="shared" si="1"/>
        <v>0</v>
      </c>
      <c r="K33" s="126">
        <f t="shared" si="2"/>
        <v>0</v>
      </c>
      <c r="L33" s="16">
        <v>0</v>
      </c>
      <c r="M33" s="16">
        <f t="shared" si="3"/>
        <v>0</v>
      </c>
      <c r="N33" s="5"/>
      <c r="Y33" s="26">
        <f t="shared" si="4"/>
        <v>0</v>
      </c>
      <c r="AA33" s="26">
        <f t="shared" si="5"/>
        <v>0</v>
      </c>
      <c r="AB33" s="26">
        <f t="shared" si="6"/>
        <v>0</v>
      </c>
      <c r="AC33" s="26">
        <f t="shared" si="7"/>
        <v>0</v>
      </c>
      <c r="AD33" s="26">
        <f t="shared" si="8"/>
        <v>0</v>
      </c>
      <c r="AE33" s="26">
        <f t="shared" si="9"/>
        <v>0</v>
      </c>
      <c r="AF33" s="26">
        <f t="shared" si="10"/>
        <v>0</v>
      </c>
      <c r="AG33" s="26">
        <f t="shared" si="11"/>
        <v>0</v>
      </c>
      <c r="AH33" s="24" t="s">
        <v>273</v>
      </c>
      <c r="AI33" s="16">
        <f t="shared" si="12"/>
        <v>0</v>
      </c>
      <c r="AJ33" s="16">
        <f t="shared" si="13"/>
        <v>0</v>
      </c>
      <c r="AK33" s="16">
        <f t="shared" si="14"/>
        <v>0</v>
      </c>
      <c r="AM33" s="26">
        <v>15</v>
      </c>
      <c r="AN33" s="26">
        <f>H33*0</f>
        <v>0</v>
      </c>
      <c r="AO33" s="26">
        <f>H33*(1-0)</f>
        <v>0</v>
      </c>
      <c r="AP33" s="27" t="s">
        <v>7</v>
      </c>
      <c r="AU33" s="26">
        <f t="shared" si="15"/>
        <v>0</v>
      </c>
      <c r="AV33" s="26">
        <f t="shared" si="16"/>
        <v>0</v>
      </c>
      <c r="AW33" s="26">
        <f t="shared" si="17"/>
        <v>0</v>
      </c>
      <c r="AX33" s="29" t="s">
        <v>883</v>
      </c>
      <c r="AY33" s="29" t="s">
        <v>923</v>
      </c>
      <c r="AZ33" s="24" t="s">
        <v>937</v>
      </c>
      <c r="BB33" s="26">
        <f t="shared" si="18"/>
        <v>0</v>
      </c>
      <c r="BC33" s="26">
        <f t="shared" si="19"/>
        <v>0</v>
      </c>
      <c r="BD33" s="26">
        <v>0</v>
      </c>
      <c r="BE33" s="26">
        <f t="shared" si="20"/>
        <v>0</v>
      </c>
      <c r="BG33" s="16">
        <f t="shared" si="21"/>
        <v>0</v>
      </c>
      <c r="BH33" s="16">
        <f t="shared" si="22"/>
        <v>0</v>
      </c>
      <c r="BI33" s="16">
        <f t="shared" si="23"/>
        <v>0</v>
      </c>
      <c r="BJ33" s="16" t="s">
        <v>945</v>
      </c>
      <c r="BK33" s="26">
        <v>31</v>
      </c>
    </row>
    <row r="34" spans="1:14" s="58" customFormat="1" ht="12.75">
      <c r="A34" s="57"/>
      <c r="C34" s="59" t="s">
        <v>991</v>
      </c>
      <c r="D34" s="232" t="s">
        <v>993</v>
      </c>
      <c r="E34" s="233"/>
      <c r="F34" s="233"/>
      <c r="G34" s="233"/>
      <c r="H34" s="233"/>
      <c r="I34" s="233"/>
      <c r="J34" s="233"/>
      <c r="K34" s="233"/>
      <c r="L34" s="233"/>
      <c r="M34" s="233"/>
      <c r="N34" s="57"/>
    </row>
    <row r="35" spans="1:63" ht="12.75">
      <c r="A35" s="4" t="s">
        <v>22</v>
      </c>
      <c r="B35" s="12" t="s">
        <v>273</v>
      </c>
      <c r="C35" s="53" t="s">
        <v>290</v>
      </c>
      <c r="D35" s="230" t="s">
        <v>570</v>
      </c>
      <c r="E35" s="231"/>
      <c r="F35" s="62" t="s">
        <v>849</v>
      </c>
      <c r="G35" s="104">
        <v>4</v>
      </c>
      <c r="H35" s="104"/>
      <c r="I35" s="16">
        <f>G35*AN35</f>
        <v>0</v>
      </c>
      <c r="J35" s="16">
        <f>G35*AO35</f>
        <v>0</v>
      </c>
      <c r="K35" s="126">
        <f>G35*H35</f>
        <v>0</v>
      </c>
      <c r="L35" s="16">
        <v>0</v>
      </c>
      <c r="M35" s="16">
        <f>G35*L35</f>
        <v>0</v>
      </c>
      <c r="N35" s="5"/>
      <c r="Y35" s="26">
        <f>IF(AP35="5",BI35,0)</f>
        <v>0</v>
      </c>
      <c r="AA35" s="26">
        <f>IF(AP35="1",BG35,0)</f>
        <v>0</v>
      </c>
      <c r="AB35" s="26">
        <f>IF(AP35="1",BH35,0)</f>
        <v>0</v>
      </c>
      <c r="AC35" s="26">
        <f>IF(AP35="7",BG35,0)</f>
        <v>0</v>
      </c>
      <c r="AD35" s="26">
        <f>IF(AP35="7",BH35,0)</f>
        <v>0</v>
      </c>
      <c r="AE35" s="26">
        <f>IF(AP35="2",BG35,0)</f>
        <v>0</v>
      </c>
      <c r="AF35" s="26">
        <f>IF(AP35="2",BH35,0)</f>
        <v>0</v>
      </c>
      <c r="AG35" s="26">
        <f>IF(AP35="0",BI35,0)</f>
        <v>0</v>
      </c>
      <c r="AH35" s="24" t="s">
        <v>273</v>
      </c>
      <c r="AI35" s="16">
        <f>IF(AM35=0,K35,0)</f>
        <v>0</v>
      </c>
      <c r="AJ35" s="16">
        <f>IF(AM35=15,K35,0)</f>
        <v>0</v>
      </c>
      <c r="AK35" s="16">
        <f>IF(AM35=21,K35,0)</f>
        <v>0</v>
      </c>
      <c r="AM35" s="26">
        <v>15</v>
      </c>
      <c r="AN35" s="26">
        <f>H35*0.268817204301075</f>
        <v>0</v>
      </c>
      <c r="AO35" s="26">
        <f>H35*(1-0.268817204301075)</f>
        <v>0</v>
      </c>
      <c r="AP35" s="27" t="s">
        <v>7</v>
      </c>
      <c r="AU35" s="26">
        <f>AV35+AW35</f>
        <v>0</v>
      </c>
      <c r="AV35" s="26">
        <f>G35*AN35</f>
        <v>0</v>
      </c>
      <c r="AW35" s="26">
        <f>G35*AO35</f>
        <v>0</v>
      </c>
      <c r="AX35" s="29" t="s">
        <v>883</v>
      </c>
      <c r="AY35" s="29" t="s">
        <v>923</v>
      </c>
      <c r="AZ35" s="24" t="s">
        <v>937</v>
      </c>
      <c r="BB35" s="26">
        <f>AV35+AW35</f>
        <v>0</v>
      </c>
      <c r="BC35" s="26">
        <f>H35/(100-BD35)*100</f>
        <v>0</v>
      </c>
      <c r="BD35" s="26">
        <v>0</v>
      </c>
      <c r="BE35" s="26">
        <f>M35</f>
        <v>0</v>
      </c>
      <c r="BG35" s="16">
        <f>G35*AN35</f>
        <v>0</v>
      </c>
      <c r="BH35" s="16">
        <f>G35*AO35</f>
        <v>0</v>
      </c>
      <c r="BI35" s="16">
        <f>G35*H35</f>
        <v>0</v>
      </c>
      <c r="BJ35" s="16" t="s">
        <v>945</v>
      </c>
      <c r="BK35" s="26">
        <v>31</v>
      </c>
    </row>
    <row r="36" spans="1:46" ht="12.75">
      <c r="A36" s="3"/>
      <c r="B36" s="11" t="s">
        <v>273</v>
      </c>
      <c r="C36" s="52" t="s">
        <v>40</v>
      </c>
      <c r="D36" s="228" t="s">
        <v>571</v>
      </c>
      <c r="E36" s="229"/>
      <c r="F36" s="61" t="s">
        <v>6</v>
      </c>
      <c r="G36" s="61" t="s">
        <v>6</v>
      </c>
      <c r="H36" s="61" t="s">
        <v>6</v>
      </c>
      <c r="I36" s="31">
        <f>SUM(I37:I39)</f>
        <v>0</v>
      </c>
      <c r="J36" s="31">
        <f>SUM(J37:J39)</f>
        <v>0</v>
      </c>
      <c r="K36" s="128">
        <f>SUM(K37:K39)</f>
        <v>0</v>
      </c>
      <c r="L36" s="24"/>
      <c r="M36" s="31">
        <f>SUM(M37:M39)</f>
        <v>0.37179</v>
      </c>
      <c r="N36" s="5"/>
      <c r="AH36" s="24" t="s">
        <v>273</v>
      </c>
      <c r="AR36" s="31">
        <f>SUM(AI37:AI39)</f>
        <v>0</v>
      </c>
      <c r="AS36" s="31">
        <f>SUM(AJ37:AJ39)</f>
        <v>0</v>
      </c>
      <c r="AT36" s="31">
        <f>SUM(AK37:AK39)</f>
        <v>0</v>
      </c>
    </row>
    <row r="37" spans="1:63" ht="12.75">
      <c r="A37" s="4" t="s">
        <v>23</v>
      </c>
      <c r="B37" s="12" t="s">
        <v>273</v>
      </c>
      <c r="C37" s="53" t="s">
        <v>291</v>
      </c>
      <c r="D37" s="230" t="s">
        <v>572</v>
      </c>
      <c r="E37" s="231"/>
      <c r="F37" s="62" t="s">
        <v>847</v>
      </c>
      <c r="G37" s="104">
        <v>27.2</v>
      </c>
      <c r="H37" s="104"/>
      <c r="I37" s="16">
        <f>G37*AN37</f>
        <v>0</v>
      </c>
      <c r="J37" s="16">
        <f>G37*AO37</f>
        <v>0</v>
      </c>
      <c r="K37" s="126">
        <f>G37*H37</f>
        <v>0</v>
      </c>
      <c r="L37" s="16">
        <v>0.01215</v>
      </c>
      <c r="M37" s="16">
        <f>G37*L37</f>
        <v>0.33048</v>
      </c>
      <c r="N37" s="5"/>
      <c r="Y37" s="26">
        <f>IF(AP37="5",BI37,0)</f>
        <v>0</v>
      </c>
      <c r="AA37" s="26">
        <f>IF(AP37="1",BG37,0)</f>
        <v>0</v>
      </c>
      <c r="AB37" s="26">
        <f>IF(AP37="1",BH37,0)</f>
        <v>0</v>
      </c>
      <c r="AC37" s="26">
        <f>IF(AP37="7",BG37,0)</f>
        <v>0</v>
      </c>
      <c r="AD37" s="26">
        <f>IF(AP37="7",BH37,0)</f>
        <v>0</v>
      </c>
      <c r="AE37" s="26">
        <f>IF(AP37="2",BG37,0)</f>
        <v>0</v>
      </c>
      <c r="AF37" s="26">
        <f>IF(AP37="2",BH37,0)</f>
        <v>0</v>
      </c>
      <c r="AG37" s="26">
        <f>IF(AP37="0",BI37,0)</f>
        <v>0</v>
      </c>
      <c r="AH37" s="24" t="s">
        <v>273</v>
      </c>
      <c r="AI37" s="16">
        <f>IF(AM37=0,K37,0)</f>
        <v>0</v>
      </c>
      <c r="AJ37" s="16">
        <f>IF(AM37=15,K37,0)</f>
        <v>0</v>
      </c>
      <c r="AK37" s="16">
        <f>IF(AM37=21,K37,0)</f>
        <v>0</v>
      </c>
      <c r="AM37" s="26">
        <v>15</v>
      </c>
      <c r="AN37" s="26">
        <f>H37*0.506330178086589</f>
        <v>0</v>
      </c>
      <c r="AO37" s="26">
        <f>H37*(1-0.506330178086589)</f>
        <v>0</v>
      </c>
      <c r="AP37" s="27" t="s">
        <v>7</v>
      </c>
      <c r="AU37" s="26">
        <f>AV37+AW37</f>
        <v>0</v>
      </c>
      <c r="AV37" s="26">
        <f>G37*AN37</f>
        <v>0</v>
      </c>
      <c r="AW37" s="26">
        <f>G37*AO37</f>
        <v>0</v>
      </c>
      <c r="AX37" s="29" t="s">
        <v>884</v>
      </c>
      <c r="AY37" s="29" t="s">
        <v>923</v>
      </c>
      <c r="AZ37" s="24" t="s">
        <v>937</v>
      </c>
      <c r="BA37" s="24" t="s">
        <v>940</v>
      </c>
      <c r="BB37" s="26">
        <f>AV37+AW37</f>
        <v>0</v>
      </c>
      <c r="BC37" s="26">
        <f>H37/(100-BD37)*100</f>
        <v>0</v>
      </c>
      <c r="BD37" s="26">
        <v>0</v>
      </c>
      <c r="BE37" s="26">
        <f>M37</f>
        <v>0.33048</v>
      </c>
      <c r="BG37" s="16">
        <f>G37*AN37</f>
        <v>0</v>
      </c>
      <c r="BH37" s="16">
        <f>G37*AO37</f>
        <v>0</v>
      </c>
      <c r="BI37" s="16">
        <f>G37*H37</f>
        <v>0</v>
      </c>
      <c r="BJ37" s="16" t="s">
        <v>945</v>
      </c>
      <c r="BK37" s="26">
        <v>34</v>
      </c>
    </row>
    <row r="38" spans="1:14" s="58" customFormat="1" ht="27" customHeight="1">
      <c r="A38" s="57"/>
      <c r="C38" s="59" t="s">
        <v>991</v>
      </c>
      <c r="D38" s="232" t="s">
        <v>994</v>
      </c>
      <c r="E38" s="233"/>
      <c r="F38" s="233"/>
      <c r="G38" s="233"/>
      <c r="H38" s="233"/>
      <c r="I38" s="233"/>
      <c r="J38" s="233"/>
      <c r="K38" s="233"/>
      <c r="L38" s="233"/>
      <c r="M38" s="233"/>
      <c r="N38" s="57"/>
    </row>
    <row r="39" spans="1:63" ht="12.75">
      <c r="A39" s="4" t="s">
        <v>24</v>
      </c>
      <c r="B39" s="12" t="s">
        <v>273</v>
      </c>
      <c r="C39" s="53" t="s">
        <v>292</v>
      </c>
      <c r="D39" s="230" t="s">
        <v>995</v>
      </c>
      <c r="E39" s="231"/>
      <c r="F39" s="62" t="s">
        <v>846</v>
      </c>
      <c r="G39" s="104">
        <v>1</v>
      </c>
      <c r="H39" s="104"/>
      <c r="I39" s="16">
        <f>G39*AN39</f>
        <v>0</v>
      </c>
      <c r="J39" s="16">
        <f>G39*AO39</f>
        <v>0</v>
      </c>
      <c r="K39" s="126">
        <f>G39*H39</f>
        <v>0</v>
      </c>
      <c r="L39" s="16">
        <v>0.04131</v>
      </c>
      <c r="M39" s="16">
        <f>G39*L39</f>
        <v>0.04131</v>
      </c>
      <c r="N39" s="5"/>
      <c r="Y39" s="26">
        <f>IF(AP39="5",BI39,0)</f>
        <v>0</v>
      </c>
      <c r="AA39" s="26">
        <f>IF(AP39="1",BG39,0)</f>
        <v>0</v>
      </c>
      <c r="AB39" s="26">
        <f>IF(AP39="1",BH39,0)</f>
        <v>0</v>
      </c>
      <c r="AC39" s="26">
        <f>IF(AP39="7",BG39,0)</f>
        <v>0</v>
      </c>
      <c r="AD39" s="26">
        <f>IF(AP39="7",BH39,0)</f>
        <v>0</v>
      </c>
      <c r="AE39" s="26">
        <f>IF(AP39="2",BG39,0)</f>
        <v>0</v>
      </c>
      <c r="AF39" s="26">
        <f>IF(AP39="2",BH39,0)</f>
        <v>0</v>
      </c>
      <c r="AG39" s="26">
        <f>IF(AP39="0",BI39,0)</f>
        <v>0</v>
      </c>
      <c r="AH39" s="24" t="s">
        <v>273</v>
      </c>
      <c r="AI39" s="16">
        <f>IF(AM39=0,K39,0)</f>
        <v>0</v>
      </c>
      <c r="AJ39" s="16">
        <f>IF(AM39=15,K39,0)</f>
        <v>0</v>
      </c>
      <c r="AK39" s="16">
        <f>IF(AM39=21,K39,0)</f>
        <v>0</v>
      </c>
      <c r="AM39" s="26">
        <v>15</v>
      </c>
      <c r="AN39" s="26">
        <f>H39*0.846811111111111</f>
        <v>0</v>
      </c>
      <c r="AO39" s="26">
        <f>H39*(1-0.846811111111111)</f>
        <v>0</v>
      </c>
      <c r="AP39" s="27" t="s">
        <v>7</v>
      </c>
      <c r="AU39" s="26">
        <f>AV39+AW39</f>
        <v>0</v>
      </c>
      <c r="AV39" s="26">
        <f>G39*AN39</f>
        <v>0</v>
      </c>
      <c r="AW39" s="26">
        <f>G39*AO39</f>
        <v>0</v>
      </c>
      <c r="AX39" s="29" t="s">
        <v>884</v>
      </c>
      <c r="AY39" s="29" t="s">
        <v>923</v>
      </c>
      <c r="AZ39" s="24" t="s">
        <v>937</v>
      </c>
      <c r="BB39" s="26">
        <f>AV39+AW39</f>
        <v>0</v>
      </c>
      <c r="BC39" s="26">
        <f>H39/(100-BD39)*100</f>
        <v>0</v>
      </c>
      <c r="BD39" s="26">
        <v>0</v>
      </c>
      <c r="BE39" s="26">
        <f>M39</f>
        <v>0.04131</v>
      </c>
      <c r="BG39" s="16">
        <f>G39*AN39</f>
        <v>0</v>
      </c>
      <c r="BH39" s="16">
        <f>G39*AO39</f>
        <v>0</v>
      </c>
      <c r="BI39" s="16">
        <f>G39*H39</f>
        <v>0</v>
      </c>
      <c r="BJ39" s="16" t="s">
        <v>945</v>
      </c>
      <c r="BK39" s="26">
        <v>34</v>
      </c>
    </row>
    <row r="40" spans="1:14" s="58" customFormat="1" ht="12.75">
      <c r="A40" s="57"/>
      <c r="C40" s="59" t="s">
        <v>991</v>
      </c>
      <c r="D40" s="232" t="s">
        <v>996</v>
      </c>
      <c r="E40" s="233"/>
      <c r="F40" s="233"/>
      <c r="G40" s="233"/>
      <c r="H40" s="233"/>
      <c r="I40" s="233"/>
      <c r="J40" s="233"/>
      <c r="K40" s="233"/>
      <c r="L40" s="233"/>
      <c r="M40" s="233"/>
      <c r="N40" s="57"/>
    </row>
    <row r="41" spans="1:46" ht="12.75">
      <c r="A41" s="3"/>
      <c r="B41" s="11" t="s">
        <v>273</v>
      </c>
      <c r="C41" s="52" t="s">
        <v>66</v>
      </c>
      <c r="D41" s="228" t="s">
        <v>573</v>
      </c>
      <c r="E41" s="229"/>
      <c r="F41" s="61" t="s">
        <v>6</v>
      </c>
      <c r="G41" s="61" t="s">
        <v>6</v>
      </c>
      <c r="H41" s="61" t="s">
        <v>6</v>
      </c>
      <c r="I41" s="31">
        <f>SUM(I42:I45)</f>
        <v>0</v>
      </c>
      <c r="J41" s="31">
        <f>SUM(J42:J45)</f>
        <v>0</v>
      </c>
      <c r="K41" s="128">
        <f>SUM(K42:K45)</f>
        <v>0</v>
      </c>
      <c r="L41" s="24"/>
      <c r="M41" s="31">
        <f>SUM(M42:M45)</f>
        <v>0.12970299999999998</v>
      </c>
      <c r="N41" s="5"/>
      <c r="AH41" s="24" t="s">
        <v>273</v>
      </c>
      <c r="AR41" s="31">
        <f>SUM(AI42:AI45)</f>
        <v>0</v>
      </c>
      <c r="AS41" s="31">
        <f>SUM(AJ42:AJ45)</f>
        <v>0</v>
      </c>
      <c r="AT41" s="31">
        <f>SUM(AK42:AK45)</f>
        <v>0</v>
      </c>
    </row>
    <row r="42" spans="1:63" ht="12.75">
      <c r="A42" s="4" t="s">
        <v>25</v>
      </c>
      <c r="B42" s="12" t="s">
        <v>273</v>
      </c>
      <c r="C42" s="53" t="s">
        <v>293</v>
      </c>
      <c r="D42" s="230" t="s">
        <v>997</v>
      </c>
      <c r="E42" s="231"/>
      <c r="F42" s="62" t="s">
        <v>847</v>
      </c>
      <c r="G42" s="104">
        <v>26.47</v>
      </c>
      <c r="H42" s="104"/>
      <c r="I42" s="16">
        <f>G42*AN42</f>
        <v>0</v>
      </c>
      <c r="J42" s="16">
        <f>G42*AO42</f>
        <v>0</v>
      </c>
      <c r="K42" s="126">
        <f>G42*H42</f>
        <v>0</v>
      </c>
      <c r="L42" s="16">
        <v>0.0049</v>
      </c>
      <c r="M42" s="16">
        <f>G42*L42</f>
        <v>0.12970299999999998</v>
      </c>
      <c r="N42" s="5"/>
      <c r="Y42" s="26">
        <f>IF(AP42="5",BI42,0)</f>
        <v>0</v>
      </c>
      <c r="AA42" s="26">
        <f>IF(AP42="1",BG42,0)</f>
        <v>0</v>
      </c>
      <c r="AB42" s="26">
        <f>IF(AP42="1",BH42,0)</f>
        <v>0</v>
      </c>
      <c r="AC42" s="26">
        <f>IF(AP42="7",BG42,0)</f>
        <v>0</v>
      </c>
      <c r="AD42" s="26">
        <f>IF(AP42="7",BH42,0)</f>
        <v>0</v>
      </c>
      <c r="AE42" s="26">
        <f>IF(AP42="2",BG42,0)</f>
        <v>0</v>
      </c>
      <c r="AF42" s="26">
        <f>IF(AP42="2",BH42,0)</f>
        <v>0</v>
      </c>
      <c r="AG42" s="26">
        <f>IF(AP42="0",BI42,0)</f>
        <v>0</v>
      </c>
      <c r="AH42" s="24" t="s">
        <v>273</v>
      </c>
      <c r="AI42" s="16">
        <f>IF(AM42=0,K42,0)</f>
        <v>0</v>
      </c>
      <c r="AJ42" s="16">
        <f>IF(AM42=15,K42,0)</f>
        <v>0</v>
      </c>
      <c r="AK42" s="16">
        <f>IF(AM42=21,K42,0)</f>
        <v>0</v>
      </c>
      <c r="AM42" s="26">
        <v>15</v>
      </c>
      <c r="AN42" s="26">
        <f>H42*0.277669324730491</f>
        <v>0</v>
      </c>
      <c r="AO42" s="26">
        <f>H42*(1-0.277669324730491)</f>
        <v>0</v>
      </c>
      <c r="AP42" s="27" t="s">
        <v>7</v>
      </c>
      <c r="AU42" s="26">
        <f>AV42+AW42</f>
        <v>0</v>
      </c>
      <c r="AV42" s="26">
        <f>G42*AN42</f>
        <v>0</v>
      </c>
      <c r="AW42" s="26">
        <f>G42*AO42</f>
        <v>0</v>
      </c>
      <c r="AX42" s="29" t="s">
        <v>885</v>
      </c>
      <c r="AY42" s="29" t="s">
        <v>924</v>
      </c>
      <c r="AZ42" s="24" t="s">
        <v>937</v>
      </c>
      <c r="BB42" s="26">
        <f>AV42+AW42</f>
        <v>0</v>
      </c>
      <c r="BC42" s="26">
        <f>H42/(100-BD42)*100</f>
        <v>0</v>
      </c>
      <c r="BD42" s="26">
        <v>0</v>
      </c>
      <c r="BE42" s="26">
        <f>M42</f>
        <v>0.12970299999999998</v>
      </c>
      <c r="BG42" s="16">
        <f>G42*AN42</f>
        <v>0</v>
      </c>
      <c r="BH42" s="16">
        <f>G42*AO42</f>
        <v>0</v>
      </c>
      <c r="BI42" s="16">
        <f>G42*H42</f>
        <v>0</v>
      </c>
      <c r="BJ42" s="16" t="s">
        <v>945</v>
      </c>
      <c r="BK42" s="26">
        <v>60</v>
      </c>
    </row>
    <row r="43" spans="1:14" s="58" customFormat="1" ht="12.75">
      <c r="A43" s="57"/>
      <c r="C43" s="59" t="s">
        <v>991</v>
      </c>
      <c r="D43" s="232" t="s">
        <v>998</v>
      </c>
      <c r="E43" s="233"/>
      <c r="F43" s="233"/>
      <c r="G43" s="233"/>
      <c r="H43" s="233"/>
      <c r="I43" s="233"/>
      <c r="J43" s="233"/>
      <c r="K43" s="233"/>
      <c r="L43" s="233"/>
      <c r="M43" s="233"/>
      <c r="N43" s="57"/>
    </row>
    <row r="44" spans="1:63" ht="12.75">
      <c r="A44" s="4" t="s">
        <v>26</v>
      </c>
      <c r="B44" s="12" t="s">
        <v>273</v>
      </c>
      <c r="C44" s="53" t="s">
        <v>294</v>
      </c>
      <c r="D44" s="230" t="s">
        <v>574</v>
      </c>
      <c r="E44" s="231"/>
      <c r="F44" s="62" t="s">
        <v>847</v>
      </c>
      <c r="G44" s="104">
        <v>1001.2</v>
      </c>
      <c r="H44" s="104"/>
      <c r="I44" s="16">
        <f>G44*AN44</f>
        <v>0</v>
      </c>
      <c r="J44" s="16">
        <f>G44*AO44</f>
        <v>0</v>
      </c>
      <c r="K44" s="126">
        <f>G44*H44</f>
        <v>0</v>
      </c>
      <c r="L44" s="16">
        <v>0</v>
      </c>
      <c r="M44" s="16">
        <f>G44*L44</f>
        <v>0</v>
      </c>
      <c r="N44" s="5"/>
      <c r="Y44" s="26">
        <f>IF(AP44="5",BI44,0)</f>
        <v>0</v>
      </c>
      <c r="AA44" s="26">
        <f>IF(AP44="1",BG44,0)</f>
        <v>0</v>
      </c>
      <c r="AB44" s="26">
        <f>IF(AP44="1",BH44,0)</f>
        <v>0</v>
      </c>
      <c r="AC44" s="26">
        <f>IF(AP44="7",BG44,0)</f>
        <v>0</v>
      </c>
      <c r="AD44" s="26">
        <f>IF(AP44="7",BH44,0)</f>
        <v>0</v>
      </c>
      <c r="AE44" s="26">
        <f>IF(AP44="2",BG44,0)</f>
        <v>0</v>
      </c>
      <c r="AF44" s="26">
        <f>IF(AP44="2",BH44,0)</f>
        <v>0</v>
      </c>
      <c r="AG44" s="26">
        <f>IF(AP44="0",BI44,0)</f>
        <v>0</v>
      </c>
      <c r="AH44" s="24" t="s">
        <v>273</v>
      </c>
      <c r="AI44" s="16">
        <f>IF(AM44=0,K44,0)</f>
        <v>0</v>
      </c>
      <c r="AJ44" s="16">
        <f>IF(AM44=15,K44,0)</f>
        <v>0</v>
      </c>
      <c r="AK44" s="16">
        <f>IF(AM44=21,K44,0)</f>
        <v>0</v>
      </c>
      <c r="AM44" s="26">
        <v>15</v>
      </c>
      <c r="AN44" s="26">
        <f>H44*0.646115804249885</f>
        <v>0</v>
      </c>
      <c r="AO44" s="26">
        <f>H44*(1-0.646115804249885)</f>
        <v>0</v>
      </c>
      <c r="AP44" s="27" t="s">
        <v>7</v>
      </c>
      <c r="AU44" s="26">
        <f>AV44+AW44</f>
        <v>0</v>
      </c>
      <c r="AV44" s="26">
        <f>G44*AN44</f>
        <v>0</v>
      </c>
      <c r="AW44" s="26">
        <f>G44*AO44</f>
        <v>0</v>
      </c>
      <c r="AX44" s="29" t="s">
        <v>885</v>
      </c>
      <c r="AY44" s="29" t="s">
        <v>924</v>
      </c>
      <c r="AZ44" s="24" t="s">
        <v>937</v>
      </c>
      <c r="BB44" s="26">
        <f>AV44+AW44</f>
        <v>0</v>
      </c>
      <c r="BC44" s="26">
        <f>H44/(100-BD44)*100</f>
        <v>0</v>
      </c>
      <c r="BD44" s="26">
        <v>0</v>
      </c>
      <c r="BE44" s="26">
        <f>M44</f>
        <v>0</v>
      </c>
      <c r="BG44" s="16">
        <f>G44*AN44</f>
        <v>0</v>
      </c>
      <c r="BH44" s="16">
        <f>G44*AO44</f>
        <v>0</v>
      </c>
      <c r="BI44" s="16">
        <f>G44*H44</f>
        <v>0</v>
      </c>
      <c r="BJ44" s="16" t="s">
        <v>945</v>
      </c>
      <c r="BK44" s="26">
        <v>60</v>
      </c>
    </row>
    <row r="45" spans="1:63" ht="12.75">
      <c r="A45" s="4" t="s">
        <v>27</v>
      </c>
      <c r="B45" s="12" t="s">
        <v>273</v>
      </c>
      <c r="C45" s="53" t="s">
        <v>295</v>
      </c>
      <c r="D45" s="230" t="s">
        <v>575</v>
      </c>
      <c r="E45" s="231"/>
      <c r="F45" s="62" t="s">
        <v>847</v>
      </c>
      <c r="G45" s="104">
        <v>90.62</v>
      </c>
      <c r="H45" s="104"/>
      <c r="I45" s="16">
        <f>G45*AN45</f>
        <v>0</v>
      </c>
      <c r="J45" s="16">
        <f>G45*AO45</f>
        <v>0</v>
      </c>
      <c r="K45" s="126">
        <f>G45*H45</f>
        <v>0</v>
      </c>
      <c r="L45" s="16">
        <v>0</v>
      </c>
      <c r="M45" s="16">
        <f>G45*L45</f>
        <v>0</v>
      </c>
      <c r="N45" s="5"/>
      <c r="Y45" s="26">
        <f>IF(AP45="5",BI45,0)</f>
        <v>0</v>
      </c>
      <c r="AA45" s="26">
        <f>IF(AP45="1",BG45,0)</f>
        <v>0</v>
      </c>
      <c r="AB45" s="26">
        <f>IF(AP45="1",BH45,0)</f>
        <v>0</v>
      </c>
      <c r="AC45" s="26">
        <f>IF(AP45="7",BG45,0)</f>
        <v>0</v>
      </c>
      <c r="AD45" s="26">
        <f>IF(AP45="7",BH45,0)</f>
        <v>0</v>
      </c>
      <c r="AE45" s="26">
        <f>IF(AP45="2",BG45,0)</f>
        <v>0</v>
      </c>
      <c r="AF45" s="26">
        <f>IF(AP45="2",BH45,0)</f>
        <v>0</v>
      </c>
      <c r="AG45" s="26">
        <f>IF(AP45="0",BI45,0)</f>
        <v>0</v>
      </c>
      <c r="AH45" s="24" t="s">
        <v>273</v>
      </c>
      <c r="AI45" s="16">
        <f>IF(AM45=0,K45,0)</f>
        <v>0</v>
      </c>
      <c r="AJ45" s="16">
        <f>IF(AM45=15,K45,0)</f>
        <v>0</v>
      </c>
      <c r="AK45" s="16">
        <f>IF(AM45=21,K45,0)</f>
        <v>0</v>
      </c>
      <c r="AM45" s="26">
        <v>15</v>
      </c>
      <c r="AN45" s="26">
        <f>H45*0.646101827474953</f>
        <v>0</v>
      </c>
      <c r="AO45" s="26">
        <f>H45*(1-0.646101827474953)</f>
        <v>0</v>
      </c>
      <c r="AP45" s="27" t="s">
        <v>7</v>
      </c>
      <c r="AU45" s="26">
        <f>AV45+AW45</f>
        <v>0</v>
      </c>
      <c r="AV45" s="26">
        <f>G45*AN45</f>
        <v>0</v>
      </c>
      <c r="AW45" s="26">
        <f>G45*AO45</f>
        <v>0</v>
      </c>
      <c r="AX45" s="29" t="s">
        <v>885</v>
      </c>
      <c r="AY45" s="29" t="s">
        <v>924</v>
      </c>
      <c r="AZ45" s="24" t="s">
        <v>937</v>
      </c>
      <c r="BB45" s="26">
        <f>AV45+AW45</f>
        <v>0</v>
      </c>
      <c r="BC45" s="26">
        <f>H45/(100-BD45)*100</f>
        <v>0</v>
      </c>
      <c r="BD45" s="26">
        <v>0</v>
      </c>
      <c r="BE45" s="26">
        <f>M45</f>
        <v>0</v>
      </c>
      <c r="BG45" s="16">
        <f>G45*AN45</f>
        <v>0</v>
      </c>
      <c r="BH45" s="16">
        <f>G45*AO45</f>
        <v>0</v>
      </c>
      <c r="BI45" s="16">
        <f>G45*H45</f>
        <v>0</v>
      </c>
      <c r="BJ45" s="16" t="s">
        <v>945</v>
      </c>
      <c r="BK45" s="26">
        <v>60</v>
      </c>
    </row>
    <row r="46" spans="1:14" s="58" customFormat="1" ht="12.75">
      <c r="A46" s="57"/>
      <c r="C46" s="59" t="s">
        <v>991</v>
      </c>
      <c r="D46" s="232" t="s">
        <v>1146</v>
      </c>
      <c r="E46" s="233"/>
      <c r="F46" s="233"/>
      <c r="G46" s="233"/>
      <c r="H46" s="233"/>
      <c r="I46" s="233"/>
      <c r="J46" s="233"/>
      <c r="K46" s="233"/>
      <c r="L46" s="233"/>
      <c r="M46" s="233"/>
      <c r="N46" s="57"/>
    </row>
    <row r="47" spans="1:46" ht="12.75">
      <c r="A47" s="3"/>
      <c r="B47" s="11" t="s">
        <v>273</v>
      </c>
      <c r="C47" s="52" t="s">
        <v>67</v>
      </c>
      <c r="D47" s="228" t="s">
        <v>576</v>
      </c>
      <c r="E47" s="229"/>
      <c r="F47" s="61" t="s">
        <v>6</v>
      </c>
      <c r="G47" s="61" t="s">
        <v>6</v>
      </c>
      <c r="H47" s="61" t="s">
        <v>6</v>
      </c>
      <c r="I47" s="31">
        <f>SUM(I48:I50)</f>
        <v>0</v>
      </c>
      <c r="J47" s="31">
        <f>SUM(J48:J50)</f>
        <v>0</v>
      </c>
      <c r="K47" s="128">
        <f>SUM(K48:K50)</f>
        <v>0</v>
      </c>
      <c r="L47" s="24"/>
      <c r="M47" s="31">
        <f>SUM(M48:M50)</f>
        <v>0.22617299999999999</v>
      </c>
      <c r="N47" s="5"/>
      <c r="AH47" s="24" t="s">
        <v>273</v>
      </c>
      <c r="AR47" s="31">
        <f>SUM(AI48:AI50)</f>
        <v>0</v>
      </c>
      <c r="AS47" s="31">
        <f>SUM(AJ48:AJ50)</f>
        <v>0</v>
      </c>
      <c r="AT47" s="31">
        <f>SUM(AK48:AK50)</f>
        <v>0</v>
      </c>
    </row>
    <row r="48" spans="1:63" ht="12.75">
      <c r="A48" s="4" t="s">
        <v>28</v>
      </c>
      <c r="B48" s="12" t="s">
        <v>273</v>
      </c>
      <c r="C48" s="53" t="s">
        <v>1003</v>
      </c>
      <c r="D48" s="230" t="s">
        <v>1002</v>
      </c>
      <c r="E48" s="231"/>
      <c r="F48" s="62" t="s">
        <v>847</v>
      </c>
      <c r="G48" s="104">
        <v>142.2</v>
      </c>
      <c r="H48" s="104"/>
      <c r="I48" s="16">
        <f>G48*AN48</f>
        <v>0</v>
      </c>
      <c r="J48" s="16">
        <f>G48*AO48</f>
        <v>0</v>
      </c>
      <c r="K48" s="126">
        <f>G48*H48</f>
        <v>0</v>
      </c>
      <c r="L48" s="16">
        <v>4E-05</v>
      </c>
      <c r="M48" s="16">
        <f>G48*L48</f>
        <v>0.005688</v>
      </c>
      <c r="N48" s="5"/>
      <c r="Y48" s="26">
        <f>IF(AP48="5",BI48,0)</f>
        <v>0</v>
      </c>
      <c r="AA48" s="26">
        <f>IF(AP48="1",BG48,0)</f>
        <v>0</v>
      </c>
      <c r="AB48" s="26">
        <f>IF(AP48="1",BH48,0)</f>
        <v>0</v>
      </c>
      <c r="AC48" s="26">
        <f>IF(AP48="7",BG48,0)</f>
        <v>0</v>
      </c>
      <c r="AD48" s="26">
        <f>IF(AP48="7",BH48,0)</f>
        <v>0</v>
      </c>
      <c r="AE48" s="26">
        <f>IF(AP48="2",BG48,0)</f>
        <v>0</v>
      </c>
      <c r="AF48" s="26">
        <f>IF(AP48="2",BH48,0)</f>
        <v>0</v>
      </c>
      <c r="AG48" s="26">
        <f>IF(AP48="0",BI48,0)</f>
        <v>0</v>
      </c>
      <c r="AH48" s="24" t="s">
        <v>273</v>
      </c>
      <c r="AI48" s="16">
        <f>IF(AM48=0,K48,0)</f>
        <v>0</v>
      </c>
      <c r="AJ48" s="16">
        <f>IF(AM48=15,K48,0)</f>
        <v>0</v>
      </c>
      <c r="AK48" s="16">
        <f>IF(AM48=21,K48,0)</f>
        <v>0</v>
      </c>
      <c r="AM48" s="26">
        <v>15</v>
      </c>
      <c r="AN48" s="26">
        <f>H48*0.405870211974712</f>
        <v>0</v>
      </c>
      <c r="AO48" s="26">
        <f>H48*(1-0.405870211974712)</f>
        <v>0</v>
      </c>
      <c r="AP48" s="27" t="s">
        <v>7</v>
      </c>
      <c r="AU48" s="26">
        <f>AV48+AW48</f>
        <v>0</v>
      </c>
      <c r="AV48" s="26">
        <f>G48*AN48</f>
        <v>0</v>
      </c>
      <c r="AW48" s="26">
        <f>G48*AO48</f>
        <v>0</v>
      </c>
      <c r="AX48" s="29" t="s">
        <v>886</v>
      </c>
      <c r="AY48" s="29" t="s">
        <v>924</v>
      </c>
      <c r="AZ48" s="24" t="s">
        <v>937</v>
      </c>
      <c r="BB48" s="26">
        <f>AV48+AW48</f>
        <v>0</v>
      </c>
      <c r="BC48" s="26">
        <f>H48/(100-BD48)*100</f>
        <v>0</v>
      </c>
      <c r="BD48" s="26">
        <v>0</v>
      </c>
      <c r="BE48" s="26">
        <f>M48</f>
        <v>0.005688</v>
      </c>
      <c r="BG48" s="16">
        <f>G48*AN48</f>
        <v>0</v>
      </c>
      <c r="BH48" s="16">
        <f>G48*AO48</f>
        <v>0</v>
      </c>
      <c r="BI48" s="16">
        <f>G48*H48</f>
        <v>0</v>
      </c>
      <c r="BJ48" s="16" t="s">
        <v>945</v>
      </c>
      <c r="BK48" s="26">
        <v>61</v>
      </c>
    </row>
    <row r="49" spans="1:63" ht="12.75">
      <c r="A49" s="4" t="s">
        <v>29</v>
      </c>
      <c r="B49" s="12" t="s">
        <v>273</v>
      </c>
      <c r="C49" s="53" t="s">
        <v>296</v>
      </c>
      <c r="D49" s="230" t="s">
        <v>999</v>
      </c>
      <c r="E49" s="231"/>
      <c r="F49" s="62" t="s">
        <v>846</v>
      </c>
      <c r="G49" s="104">
        <v>345.9</v>
      </c>
      <c r="H49" s="104"/>
      <c r="I49" s="16">
        <f>G49*AN49</f>
        <v>0</v>
      </c>
      <c r="J49" s="16">
        <f>G49*AO49</f>
        <v>0</v>
      </c>
      <c r="K49" s="126">
        <f>G49*H49</f>
        <v>0</v>
      </c>
      <c r="L49" s="16">
        <v>0.00015</v>
      </c>
      <c r="M49" s="16">
        <f>G49*L49</f>
        <v>0.051884999999999994</v>
      </c>
      <c r="N49" s="5"/>
      <c r="Y49" s="26">
        <f>IF(AP49="5",BI49,0)</f>
        <v>0</v>
      </c>
      <c r="AA49" s="26">
        <f>IF(AP49="1",BG49,0)</f>
        <v>0</v>
      </c>
      <c r="AB49" s="26">
        <f>IF(AP49="1",BH49,0)</f>
        <v>0</v>
      </c>
      <c r="AC49" s="26">
        <f>IF(AP49="7",BG49,0)</f>
        <v>0</v>
      </c>
      <c r="AD49" s="26">
        <f>IF(AP49="7",BH49,0)</f>
        <v>0</v>
      </c>
      <c r="AE49" s="26">
        <f>IF(AP49="2",BG49,0)</f>
        <v>0</v>
      </c>
      <c r="AF49" s="26">
        <f>IF(AP49="2",BH49,0)</f>
        <v>0</v>
      </c>
      <c r="AG49" s="26">
        <f>IF(AP49="0",BI49,0)</f>
        <v>0</v>
      </c>
      <c r="AH49" s="24" t="s">
        <v>273</v>
      </c>
      <c r="AI49" s="16">
        <f>IF(AM49=0,K49,0)</f>
        <v>0</v>
      </c>
      <c r="AJ49" s="16">
        <f>IF(AM49=15,K49,0)</f>
        <v>0</v>
      </c>
      <c r="AK49" s="16">
        <f>IF(AM49=21,K49,0)</f>
        <v>0</v>
      </c>
      <c r="AM49" s="26">
        <v>15</v>
      </c>
      <c r="AN49" s="26">
        <f>H49*0.588083594954026</f>
        <v>0</v>
      </c>
      <c r="AO49" s="26">
        <f>H49*(1-0.588083594954026)</f>
        <v>0</v>
      </c>
      <c r="AP49" s="27" t="s">
        <v>7</v>
      </c>
      <c r="AU49" s="26">
        <f>AV49+AW49</f>
        <v>0</v>
      </c>
      <c r="AV49" s="26">
        <f>G49*AN49</f>
        <v>0</v>
      </c>
      <c r="AW49" s="26">
        <f>G49*AO49</f>
        <v>0</v>
      </c>
      <c r="AX49" s="29" t="s">
        <v>886</v>
      </c>
      <c r="AY49" s="29" t="s">
        <v>924</v>
      </c>
      <c r="AZ49" s="24" t="s">
        <v>937</v>
      </c>
      <c r="BB49" s="26">
        <f>AV49+AW49</f>
        <v>0</v>
      </c>
      <c r="BC49" s="26">
        <f>H49/(100-BD49)*100</f>
        <v>0</v>
      </c>
      <c r="BD49" s="26">
        <v>0</v>
      </c>
      <c r="BE49" s="26">
        <f>M49</f>
        <v>0.051884999999999994</v>
      </c>
      <c r="BG49" s="16">
        <f>G49*AN49</f>
        <v>0</v>
      </c>
      <c r="BH49" s="16">
        <f>G49*AO49</f>
        <v>0</v>
      </c>
      <c r="BI49" s="16">
        <f>G49*H49</f>
        <v>0</v>
      </c>
      <c r="BJ49" s="16" t="s">
        <v>945</v>
      </c>
      <c r="BK49" s="26">
        <v>61</v>
      </c>
    </row>
    <row r="50" spans="1:63" ht="12.75">
      <c r="A50" s="4" t="s">
        <v>30</v>
      </c>
      <c r="B50" s="12" t="s">
        <v>273</v>
      </c>
      <c r="C50" s="53" t="s">
        <v>297</v>
      </c>
      <c r="D50" s="230" t="s">
        <v>577</v>
      </c>
      <c r="E50" s="231"/>
      <c r="F50" s="62" t="s">
        <v>847</v>
      </c>
      <c r="G50" s="104">
        <v>33.72</v>
      </c>
      <c r="H50" s="104"/>
      <c r="I50" s="16">
        <f>G50*AN50</f>
        <v>0</v>
      </c>
      <c r="J50" s="16">
        <f>G50*AO50</f>
        <v>0</v>
      </c>
      <c r="K50" s="126">
        <f>G50*H50</f>
        <v>0</v>
      </c>
      <c r="L50" s="16">
        <v>0.005</v>
      </c>
      <c r="M50" s="16">
        <f>G50*L50</f>
        <v>0.1686</v>
      </c>
      <c r="N50" s="5"/>
      <c r="Y50" s="26">
        <f>IF(AP50="5",BI50,0)</f>
        <v>0</v>
      </c>
      <c r="AA50" s="26">
        <f>IF(AP50="1",BG50,0)</f>
        <v>0</v>
      </c>
      <c r="AB50" s="26">
        <f>IF(AP50="1",BH50,0)</f>
        <v>0</v>
      </c>
      <c r="AC50" s="26">
        <f>IF(AP50="7",BG50,0)</f>
        <v>0</v>
      </c>
      <c r="AD50" s="26">
        <f>IF(AP50="7",BH50,0)</f>
        <v>0</v>
      </c>
      <c r="AE50" s="26">
        <f>IF(AP50="2",BG50,0)</f>
        <v>0</v>
      </c>
      <c r="AF50" s="26">
        <f>IF(AP50="2",BH50,0)</f>
        <v>0</v>
      </c>
      <c r="AG50" s="26">
        <f>IF(AP50="0",BI50,0)</f>
        <v>0</v>
      </c>
      <c r="AH50" s="24" t="s">
        <v>273</v>
      </c>
      <c r="AI50" s="16">
        <f>IF(AM50=0,K50,0)</f>
        <v>0</v>
      </c>
      <c r="AJ50" s="16">
        <f>IF(AM50=15,K50,0)</f>
        <v>0</v>
      </c>
      <c r="AK50" s="16">
        <f>IF(AM50=21,K50,0)</f>
        <v>0</v>
      </c>
      <c r="AM50" s="26">
        <v>15</v>
      </c>
      <c r="AN50" s="26">
        <f>H50*0</f>
        <v>0</v>
      </c>
      <c r="AO50" s="26">
        <f>H50*(1-0)</f>
        <v>0</v>
      </c>
      <c r="AP50" s="27" t="s">
        <v>7</v>
      </c>
      <c r="AU50" s="26">
        <f>AV50+AW50</f>
        <v>0</v>
      </c>
      <c r="AV50" s="26">
        <f>G50*AN50</f>
        <v>0</v>
      </c>
      <c r="AW50" s="26">
        <f>G50*AO50</f>
        <v>0</v>
      </c>
      <c r="AX50" s="29" t="s">
        <v>886</v>
      </c>
      <c r="AY50" s="29" t="s">
        <v>924</v>
      </c>
      <c r="AZ50" s="24" t="s">
        <v>937</v>
      </c>
      <c r="BB50" s="26">
        <f>AV50+AW50</f>
        <v>0</v>
      </c>
      <c r="BC50" s="26">
        <f>H50/(100-BD50)*100</f>
        <v>0</v>
      </c>
      <c r="BD50" s="26">
        <v>0</v>
      </c>
      <c r="BE50" s="26">
        <f>M50</f>
        <v>0.1686</v>
      </c>
      <c r="BG50" s="16">
        <f>G50*AN50</f>
        <v>0</v>
      </c>
      <c r="BH50" s="16">
        <f>G50*AO50</f>
        <v>0</v>
      </c>
      <c r="BI50" s="16">
        <f>G50*H50</f>
        <v>0</v>
      </c>
      <c r="BJ50" s="16" t="s">
        <v>945</v>
      </c>
      <c r="BK50" s="26">
        <v>61</v>
      </c>
    </row>
    <row r="51" spans="1:14" s="58" customFormat="1" ht="12.75">
      <c r="A51" s="57"/>
      <c r="C51" s="59" t="s">
        <v>991</v>
      </c>
      <c r="D51" s="232" t="s">
        <v>948</v>
      </c>
      <c r="E51" s="233"/>
      <c r="F51" s="233"/>
      <c r="G51" s="233"/>
      <c r="H51" s="233"/>
      <c r="I51" s="233"/>
      <c r="J51" s="233"/>
      <c r="K51" s="233"/>
      <c r="L51" s="233"/>
      <c r="M51" s="233"/>
      <c r="N51" s="57"/>
    </row>
    <row r="52" spans="1:46" ht="12.75">
      <c r="A52" s="3"/>
      <c r="B52" s="11" t="s">
        <v>273</v>
      </c>
      <c r="C52" s="52" t="s">
        <v>68</v>
      </c>
      <c r="D52" s="228" t="s">
        <v>578</v>
      </c>
      <c r="E52" s="229"/>
      <c r="F52" s="61" t="s">
        <v>6</v>
      </c>
      <c r="G52" s="61" t="s">
        <v>6</v>
      </c>
      <c r="H52" s="61" t="s">
        <v>6</v>
      </c>
      <c r="I52" s="31">
        <f>SUM(I53:I91)</f>
        <v>0</v>
      </c>
      <c r="J52" s="31">
        <f>SUM(J53:J91)</f>
        <v>0</v>
      </c>
      <c r="K52" s="128">
        <f>SUM(K53:K91)</f>
        <v>0</v>
      </c>
      <c r="L52" s="24"/>
      <c r="M52" s="31">
        <f>SUM(M53:M91)</f>
        <v>6.318627058000001</v>
      </c>
      <c r="N52" s="5"/>
      <c r="AH52" s="24" t="s">
        <v>273</v>
      </c>
      <c r="AR52" s="31">
        <f>SUM(AI53:AI91)</f>
        <v>0</v>
      </c>
      <c r="AS52" s="31">
        <f>SUM(AJ53:AJ91)</f>
        <v>0</v>
      </c>
      <c r="AT52" s="31">
        <f>SUM(AK53:AK91)</f>
        <v>0</v>
      </c>
    </row>
    <row r="53" spans="1:63" ht="12.75">
      <c r="A53" s="4" t="s">
        <v>31</v>
      </c>
      <c r="B53" s="12" t="s">
        <v>273</v>
      </c>
      <c r="C53" s="53" t="s">
        <v>298</v>
      </c>
      <c r="D53" s="230" t="s">
        <v>579</v>
      </c>
      <c r="E53" s="231"/>
      <c r="F53" s="62" t="s">
        <v>847</v>
      </c>
      <c r="G53" s="104">
        <v>14.24</v>
      </c>
      <c r="H53" s="104"/>
      <c r="I53" s="16">
        <f>G53*AN53</f>
        <v>0</v>
      </c>
      <c r="J53" s="16">
        <f>G53*AO53</f>
        <v>0</v>
      </c>
      <c r="K53" s="126">
        <f>G53*H53</f>
        <v>0</v>
      </c>
      <c r="L53" s="16">
        <v>0.0042</v>
      </c>
      <c r="M53" s="16">
        <f>G53*L53</f>
        <v>0.059808</v>
      </c>
      <c r="N53" s="5"/>
      <c r="Y53" s="26">
        <f>IF(AP53="5",BI53,0)</f>
        <v>0</v>
      </c>
      <c r="AA53" s="26">
        <f>IF(AP53="1",BG53,0)</f>
        <v>0</v>
      </c>
      <c r="AB53" s="26">
        <f>IF(AP53="1",BH53,0)</f>
        <v>0</v>
      </c>
      <c r="AC53" s="26">
        <f>IF(AP53="7",BG53,0)</f>
        <v>0</v>
      </c>
      <c r="AD53" s="26">
        <f>IF(AP53="7",BH53,0)</f>
        <v>0</v>
      </c>
      <c r="AE53" s="26">
        <f>IF(AP53="2",BG53,0)</f>
        <v>0</v>
      </c>
      <c r="AF53" s="26">
        <f>IF(AP53="2",BH53,0)</f>
        <v>0</v>
      </c>
      <c r="AG53" s="26">
        <f>IF(AP53="0",BI53,0)</f>
        <v>0</v>
      </c>
      <c r="AH53" s="24" t="s">
        <v>273</v>
      </c>
      <c r="AI53" s="16">
        <f>IF(AM53=0,K53,0)</f>
        <v>0</v>
      </c>
      <c r="AJ53" s="16">
        <f>IF(AM53=15,K53,0)</f>
        <v>0</v>
      </c>
      <c r="AK53" s="16">
        <f>IF(AM53=21,K53,0)</f>
        <v>0</v>
      </c>
      <c r="AM53" s="26">
        <v>15</v>
      </c>
      <c r="AN53" s="26">
        <f>H53*0.282261930463161</f>
        <v>0</v>
      </c>
      <c r="AO53" s="26">
        <f>H53*(1-0.282261930463161)</f>
        <v>0</v>
      </c>
      <c r="AP53" s="27" t="s">
        <v>7</v>
      </c>
      <c r="AU53" s="26">
        <f>AV53+AW53</f>
        <v>0</v>
      </c>
      <c r="AV53" s="26">
        <f>G53*AN53</f>
        <v>0</v>
      </c>
      <c r="AW53" s="26">
        <f>G53*AO53</f>
        <v>0</v>
      </c>
      <c r="AX53" s="29" t="s">
        <v>887</v>
      </c>
      <c r="AY53" s="29" t="s">
        <v>924</v>
      </c>
      <c r="AZ53" s="24" t="s">
        <v>937</v>
      </c>
      <c r="BB53" s="26">
        <f>AV53+AW53</f>
        <v>0</v>
      </c>
      <c r="BC53" s="26">
        <f>H53/(100-BD53)*100</f>
        <v>0</v>
      </c>
      <c r="BD53" s="26">
        <v>0</v>
      </c>
      <c r="BE53" s="26">
        <f>M53</f>
        <v>0.059808</v>
      </c>
      <c r="BG53" s="16">
        <f>G53*AN53</f>
        <v>0</v>
      </c>
      <c r="BH53" s="16">
        <f>G53*AO53</f>
        <v>0</v>
      </c>
      <c r="BI53" s="16">
        <f>G53*H53</f>
        <v>0</v>
      </c>
      <c r="BJ53" s="16" t="s">
        <v>945</v>
      </c>
      <c r="BK53" s="26">
        <v>62</v>
      </c>
    </row>
    <row r="54" spans="1:14" s="58" customFormat="1" ht="12.75">
      <c r="A54" s="57"/>
      <c r="C54" s="59" t="s">
        <v>991</v>
      </c>
      <c r="D54" s="232" t="s">
        <v>1000</v>
      </c>
      <c r="E54" s="233"/>
      <c r="F54" s="233"/>
      <c r="G54" s="233"/>
      <c r="H54" s="233"/>
      <c r="I54" s="233"/>
      <c r="J54" s="233"/>
      <c r="K54" s="233"/>
      <c r="L54" s="233"/>
      <c r="M54" s="233"/>
      <c r="N54" s="57"/>
    </row>
    <row r="55" spans="1:63" ht="12.75">
      <c r="A55" s="4" t="s">
        <v>32</v>
      </c>
      <c r="B55" s="12" t="s">
        <v>273</v>
      </c>
      <c r="C55" s="53" t="s">
        <v>299</v>
      </c>
      <c r="D55" s="230" t="s">
        <v>580</v>
      </c>
      <c r="E55" s="231"/>
      <c r="F55" s="62" t="s">
        <v>847</v>
      </c>
      <c r="G55" s="104">
        <v>28.6144</v>
      </c>
      <c r="H55" s="104"/>
      <c r="I55" s="16">
        <f>G55*AN55</f>
        <v>0</v>
      </c>
      <c r="J55" s="16">
        <f>G55*AO55</f>
        <v>0</v>
      </c>
      <c r="K55" s="126">
        <f>G55*H55</f>
        <v>0</v>
      </c>
      <c r="L55" s="16">
        <v>0.00971</v>
      </c>
      <c r="M55" s="16">
        <f>G55*L55</f>
        <v>0.277845824</v>
      </c>
      <c r="N55" s="5"/>
      <c r="Y55" s="26">
        <f>IF(AP55="5",BI55,0)</f>
        <v>0</v>
      </c>
      <c r="AA55" s="26">
        <f>IF(AP55="1",BG55,0)</f>
        <v>0</v>
      </c>
      <c r="AB55" s="26">
        <f>IF(AP55="1",BH55,0)</f>
        <v>0</v>
      </c>
      <c r="AC55" s="26">
        <f>IF(AP55="7",BG55,0)</f>
        <v>0</v>
      </c>
      <c r="AD55" s="26">
        <f>IF(AP55="7",BH55,0)</f>
        <v>0</v>
      </c>
      <c r="AE55" s="26">
        <f>IF(AP55="2",BG55,0)</f>
        <v>0</v>
      </c>
      <c r="AF55" s="26">
        <f>IF(AP55="2",BH55,0)</f>
        <v>0</v>
      </c>
      <c r="AG55" s="26">
        <f>IF(AP55="0",BI55,0)</f>
        <v>0</v>
      </c>
      <c r="AH55" s="24" t="s">
        <v>273</v>
      </c>
      <c r="AI55" s="16">
        <f>IF(AM55=0,K55,0)</f>
        <v>0</v>
      </c>
      <c r="AJ55" s="16">
        <f>IF(AM55=15,K55,0)</f>
        <v>0</v>
      </c>
      <c r="AK55" s="16">
        <f>IF(AM55=21,K55,0)</f>
        <v>0</v>
      </c>
      <c r="AM55" s="26">
        <v>15</v>
      </c>
      <c r="AN55" s="26">
        <f>H55*0.663952022924795</f>
        <v>0</v>
      </c>
      <c r="AO55" s="26">
        <f>H55*(1-0.663952022924795)</f>
        <v>0</v>
      </c>
      <c r="AP55" s="27" t="s">
        <v>7</v>
      </c>
      <c r="AU55" s="26">
        <f>AV55+AW55</f>
        <v>0</v>
      </c>
      <c r="AV55" s="26">
        <f>G55*AN55</f>
        <v>0</v>
      </c>
      <c r="AW55" s="26">
        <f>G55*AO55</f>
        <v>0</v>
      </c>
      <c r="AX55" s="29" t="s">
        <v>887</v>
      </c>
      <c r="AY55" s="29" t="s">
        <v>924</v>
      </c>
      <c r="AZ55" s="24" t="s">
        <v>937</v>
      </c>
      <c r="BB55" s="26">
        <f>AV55+AW55</f>
        <v>0</v>
      </c>
      <c r="BC55" s="26">
        <f>H55/(100-BD55)*100</f>
        <v>0</v>
      </c>
      <c r="BD55" s="26">
        <v>0</v>
      </c>
      <c r="BE55" s="26">
        <f>M55</f>
        <v>0.277845824</v>
      </c>
      <c r="BG55" s="16">
        <f>G55*AN55</f>
        <v>0</v>
      </c>
      <c r="BH55" s="16">
        <f>G55*AO55</f>
        <v>0</v>
      </c>
      <c r="BI55" s="16">
        <f>G55*H55</f>
        <v>0</v>
      </c>
      <c r="BJ55" s="16" t="s">
        <v>945</v>
      </c>
      <c r="BK55" s="26">
        <v>62</v>
      </c>
    </row>
    <row r="56" spans="1:14" s="58" customFormat="1" ht="12.75">
      <c r="A56" s="57"/>
      <c r="C56" s="59" t="s">
        <v>991</v>
      </c>
      <c r="D56" s="232" t="s">
        <v>1005</v>
      </c>
      <c r="E56" s="233"/>
      <c r="F56" s="233"/>
      <c r="G56" s="233"/>
      <c r="H56" s="233"/>
      <c r="I56" s="233"/>
      <c r="J56" s="233"/>
      <c r="K56" s="233"/>
      <c r="L56" s="233"/>
      <c r="M56" s="233"/>
      <c r="N56" s="57"/>
    </row>
    <row r="57" spans="1:63" ht="12.75">
      <c r="A57" s="4" t="s">
        <v>33</v>
      </c>
      <c r="B57" s="12" t="s">
        <v>273</v>
      </c>
      <c r="C57" s="53" t="s">
        <v>300</v>
      </c>
      <c r="D57" s="230" t="s">
        <v>581</v>
      </c>
      <c r="E57" s="231"/>
      <c r="F57" s="62"/>
      <c r="G57" s="104">
        <v>16.9024</v>
      </c>
      <c r="H57" s="104"/>
      <c r="I57" s="16">
        <f>G57*AN57</f>
        <v>0</v>
      </c>
      <c r="J57" s="16">
        <f>G57*AO57</f>
        <v>0</v>
      </c>
      <c r="K57" s="126">
        <f>G57*H57</f>
        <v>0</v>
      </c>
      <c r="L57" s="16">
        <v>0</v>
      </c>
      <c r="M57" s="16">
        <f>G57*L57</f>
        <v>0</v>
      </c>
      <c r="N57" s="5"/>
      <c r="Y57" s="26">
        <f>IF(AP57="5",BI57,0)</f>
        <v>0</v>
      </c>
      <c r="AA57" s="26">
        <f>IF(AP57="1",BG57,0)</f>
        <v>0</v>
      </c>
      <c r="AB57" s="26">
        <f>IF(AP57="1",BH57,0)</f>
        <v>0</v>
      </c>
      <c r="AC57" s="26">
        <f>IF(AP57="7",BG57,0)</f>
        <v>0</v>
      </c>
      <c r="AD57" s="26">
        <f>IF(AP57="7",BH57,0)</f>
        <v>0</v>
      </c>
      <c r="AE57" s="26">
        <f>IF(AP57="2",BG57,0)</f>
        <v>0</v>
      </c>
      <c r="AF57" s="26">
        <f>IF(AP57="2",BH57,0)</f>
        <v>0</v>
      </c>
      <c r="AG57" s="26">
        <f>IF(AP57="0",BI57,0)</f>
        <v>0</v>
      </c>
      <c r="AH57" s="24" t="s">
        <v>273</v>
      </c>
      <c r="AI57" s="16">
        <f>IF(AM57=0,K57,0)</f>
        <v>0</v>
      </c>
      <c r="AJ57" s="16">
        <f>IF(AM57=15,K57,0)</f>
        <v>0</v>
      </c>
      <c r="AK57" s="16">
        <f>IF(AM57=21,K57,0)</f>
        <v>0</v>
      </c>
      <c r="AM57" s="26">
        <v>15</v>
      </c>
      <c r="AN57" s="26">
        <f>H57*0.0232425006707808</f>
        <v>0</v>
      </c>
      <c r="AO57" s="26">
        <f>H57*(1-0.0232425006707808)</f>
        <v>0</v>
      </c>
      <c r="AP57" s="27" t="s">
        <v>7</v>
      </c>
      <c r="AU57" s="26">
        <f>AV57+AW57</f>
        <v>0</v>
      </c>
      <c r="AV57" s="26">
        <f>G57*AN57</f>
        <v>0</v>
      </c>
      <c r="AW57" s="26">
        <f>G57*AO57</f>
        <v>0</v>
      </c>
      <c r="AX57" s="29" t="s">
        <v>887</v>
      </c>
      <c r="AY57" s="29" t="s">
        <v>924</v>
      </c>
      <c r="AZ57" s="24" t="s">
        <v>937</v>
      </c>
      <c r="BB57" s="26">
        <f>AV57+AW57</f>
        <v>0</v>
      </c>
      <c r="BC57" s="26">
        <f>H57/(100-BD57)*100</f>
        <v>0</v>
      </c>
      <c r="BD57" s="26">
        <v>0</v>
      </c>
      <c r="BE57" s="26">
        <f>M57</f>
        <v>0</v>
      </c>
      <c r="BG57" s="16">
        <f>G57*AN57</f>
        <v>0</v>
      </c>
      <c r="BH57" s="16">
        <f>G57*AO57</f>
        <v>0</v>
      </c>
      <c r="BI57" s="16">
        <f>G57*H57</f>
        <v>0</v>
      </c>
      <c r="BJ57" s="16" t="s">
        <v>945</v>
      </c>
      <c r="BK57" s="26">
        <v>62</v>
      </c>
    </row>
    <row r="58" spans="1:63" ht="12.75">
      <c r="A58" s="4" t="s">
        <v>34</v>
      </c>
      <c r="B58" s="12" t="s">
        <v>273</v>
      </c>
      <c r="C58" s="53" t="s">
        <v>301</v>
      </c>
      <c r="D58" s="230" t="s">
        <v>582</v>
      </c>
      <c r="E58" s="231"/>
      <c r="F58" s="62" t="s">
        <v>846</v>
      </c>
      <c r="G58" s="104">
        <v>363.195</v>
      </c>
      <c r="H58" s="104"/>
      <c r="I58" s="16">
        <f>G58*AN58</f>
        <v>0</v>
      </c>
      <c r="J58" s="16">
        <f>G58*AO58</f>
        <v>0</v>
      </c>
      <c r="K58" s="126">
        <f>G58*H58</f>
        <v>0</v>
      </c>
      <c r="L58" s="16">
        <v>0.00012</v>
      </c>
      <c r="M58" s="16">
        <f>G58*L58</f>
        <v>0.0435834</v>
      </c>
      <c r="N58" s="5"/>
      <c r="Y58" s="26">
        <f>IF(AP58="5",BI58,0)</f>
        <v>0</v>
      </c>
      <c r="AA58" s="26">
        <f>IF(AP58="1",BG58,0)</f>
        <v>0</v>
      </c>
      <c r="AB58" s="26">
        <f>IF(AP58="1",BH58,0)</f>
        <v>0</v>
      </c>
      <c r="AC58" s="26">
        <f>IF(AP58="7",BG58,0)</f>
        <v>0</v>
      </c>
      <c r="AD58" s="26">
        <f>IF(AP58="7",BH58,0)</f>
        <v>0</v>
      </c>
      <c r="AE58" s="26">
        <f>IF(AP58="2",BG58,0)</f>
        <v>0</v>
      </c>
      <c r="AF58" s="26">
        <f>IF(AP58="2",BH58,0)</f>
        <v>0</v>
      </c>
      <c r="AG58" s="26">
        <f>IF(AP58="0",BI58,0)</f>
        <v>0</v>
      </c>
      <c r="AH58" s="24" t="s">
        <v>273</v>
      </c>
      <c r="AI58" s="16">
        <f>IF(AM58=0,K58,0)</f>
        <v>0</v>
      </c>
      <c r="AJ58" s="16">
        <f>IF(AM58=15,K58,0)</f>
        <v>0</v>
      </c>
      <c r="AK58" s="16">
        <f>IF(AM58=21,K58,0)</f>
        <v>0</v>
      </c>
      <c r="AM58" s="26">
        <v>15</v>
      </c>
      <c r="AN58" s="26">
        <f>H58*0.733266220803618</f>
        <v>0</v>
      </c>
      <c r="AO58" s="26">
        <f>H58*(1-0.733266220803618)</f>
        <v>0</v>
      </c>
      <c r="AP58" s="27" t="s">
        <v>7</v>
      </c>
      <c r="AU58" s="26">
        <f>AV58+AW58</f>
        <v>0</v>
      </c>
      <c r="AV58" s="26">
        <f>G58*AN58</f>
        <v>0</v>
      </c>
      <c r="AW58" s="26">
        <f>G58*AO58</f>
        <v>0</v>
      </c>
      <c r="AX58" s="29" t="s">
        <v>887</v>
      </c>
      <c r="AY58" s="29" t="s">
        <v>924</v>
      </c>
      <c r="AZ58" s="24" t="s">
        <v>937</v>
      </c>
      <c r="BB58" s="26">
        <f>AV58+AW58</f>
        <v>0</v>
      </c>
      <c r="BC58" s="26">
        <f>H58/(100-BD58)*100</f>
        <v>0</v>
      </c>
      <c r="BD58" s="26">
        <v>0</v>
      </c>
      <c r="BE58" s="26">
        <f>M58</f>
        <v>0.0435834</v>
      </c>
      <c r="BG58" s="16">
        <f>G58*AN58</f>
        <v>0</v>
      </c>
      <c r="BH58" s="16">
        <f>G58*AO58</f>
        <v>0</v>
      </c>
      <c r="BI58" s="16">
        <f>G58*H58</f>
        <v>0</v>
      </c>
      <c r="BJ58" s="16" t="s">
        <v>945</v>
      </c>
      <c r="BK58" s="26">
        <v>62</v>
      </c>
    </row>
    <row r="59" spans="1:63" ht="12.75">
      <c r="A59" s="4" t="s">
        <v>35</v>
      </c>
      <c r="B59" s="12" t="s">
        <v>273</v>
      </c>
      <c r="C59" s="53" t="s">
        <v>1001</v>
      </c>
      <c r="D59" s="230" t="s">
        <v>583</v>
      </c>
      <c r="E59" s="231"/>
      <c r="F59" s="62" t="s">
        <v>847</v>
      </c>
      <c r="G59" s="104">
        <v>142.1</v>
      </c>
      <c r="H59" s="104"/>
      <c r="I59" s="16">
        <f>G59*AN59</f>
        <v>0</v>
      </c>
      <c r="J59" s="16">
        <f>G59*AO59</f>
        <v>0</v>
      </c>
      <c r="K59" s="126">
        <f>G59*H59</f>
        <v>0</v>
      </c>
      <c r="L59" s="16">
        <v>3E-05</v>
      </c>
      <c r="M59" s="16">
        <f>G59*L59</f>
        <v>0.004263</v>
      </c>
      <c r="N59" s="5"/>
      <c r="Y59" s="26">
        <f>IF(AP59="5",BI59,0)</f>
        <v>0</v>
      </c>
      <c r="AA59" s="26">
        <f>IF(AP59="1",BG59,0)</f>
        <v>0</v>
      </c>
      <c r="AB59" s="26">
        <f>IF(AP59="1",BH59,0)</f>
        <v>0</v>
      </c>
      <c r="AC59" s="26">
        <f>IF(AP59="7",BG59,0)</f>
        <v>0</v>
      </c>
      <c r="AD59" s="26">
        <f>IF(AP59="7",BH59,0)</f>
        <v>0</v>
      </c>
      <c r="AE59" s="26">
        <f>IF(AP59="2",BG59,0)</f>
        <v>0</v>
      </c>
      <c r="AF59" s="26">
        <f>IF(AP59="2",BH59,0)</f>
        <v>0</v>
      </c>
      <c r="AG59" s="26">
        <f>IF(AP59="0",BI59,0)</f>
        <v>0</v>
      </c>
      <c r="AH59" s="24" t="s">
        <v>273</v>
      </c>
      <c r="AI59" s="16">
        <f>IF(AM59=0,K59,0)</f>
        <v>0</v>
      </c>
      <c r="AJ59" s="16">
        <f>IF(AM59=15,K59,0)</f>
        <v>0</v>
      </c>
      <c r="AK59" s="16">
        <f>IF(AM59=21,K59,0)</f>
        <v>0</v>
      </c>
      <c r="AM59" s="26">
        <v>15</v>
      </c>
      <c r="AN59" s="26">
        <f>H59*0.309040724158153</f>
        <v>0</v>
      </c>
      <c r="AO59" s="26">
        <f>H59*(1-0.309040724158153)</f>
        <v>0</v>
      </c>
      <c r="AP59" s="27" t="s">
        <v>7</v>
      </c>
      <c r="AU59" s="26">
        <f>AV59+AW59</f>
        <v>0</v>
      </c>
      <c r="AV59" s="26">
        <f>G59*AN59</f>
        <v>0</v>
      </c>
      <c r="AW59" s="26">
        <f>G59*AO59</f>
        <v>0</v>
      </c>
      <c r="AX59" s="29" t="s">
        <v>887</v>
      </c>
      <c r="AY59" s="29" t="s">
        <v>924</v>
      </c>
      <c r="AZ59" s="24" t="s">
        <v>937</v>
      </c>
      <c r="BB59" s="26">
        <f>AV59+AW59</f>
        <v>0</v>
      </c>
      <c r="BC59" s="26">
        <f>H59/(100-BD59)*100</f>
        <v>0</v>
      </c>
      <c r="BD59" s="26">
        <v>0</v>
      </c>
      <c r="BE59" s="26">
        <f>M59</f>
        <v>0.004263</v>
      </c>
      <c r="BG59" s="16">
        <f>G59*AN59</f>
        <v>0</v>
      </c>
      <c r="BH59" s="16">
        <f>G59*AO59</f>
        <v>0</v>
      </c>
      <c r="BI59" s="16">
        <f>G59*H59</f>
        <v>0</v>
      </c>
      <c r="BJ59" s="16" t="s">
        <v>945</v>
      </c>
      <c r="BK59" s="26">
        <v>62</v>
      </c>
    </row>
    <row r="60" spans="1:14" s="58" customFormat="1" ht="27.75" customHeight="1">
      <c r="A60" s="57"/>
      <c r="C60" s="59" t="s">
        <v>991</v>
      </c>
      <c r="D60" s="232" t="s">
        <v>1006</v>
      </c>
      <c r="E60" s="233"/>
      <c r="F60" s="233"/>
      <c r="G60" s="233"/>
      <c r="H60" s="233"/>
      <c r="I60" s="233"/>
      <c r="J60" s="233"/>
      <c r="K60" s="233"/>
      <c r="L60" s="233"/>
      <c r="M60" s="233"/>
      <c r="N60" s="57"/>
    </row>
    <row r="61" spans="1:63" ht="12.75">
      <c r="A61" s="4" t="s">
        <v>36</v>
      </c>
      <c r="B61" s="12" t="s">
        <v>273</v>
      </c>
      <c r="C61" s="53" t="s">
        <v>302</v>
      </c>
      <c r="D61" s="230" t="s">
        <v>584</v>
      </c>
      <c r="E61" s="231"/>
      <c r="F61" s="62" t="s">
        <v>847</v>
      </c>
      <c r="G61" s="104">
        <v>38.825</v>
      </c>
      <c r="H61" s="104"/>
      <c r="I61" s="16">
        <f>G61*AN61</f>
        <v>0</v>
      </c>
      <c r="J61" s="16">
        <f>G61*AO61</f>
        <v>0</v>
      </c>
      <c r="K61" s="126">
        <f>G61*H61</f>
        <v>0</v>
      </c>
      <c r="L61" s="16">
        <v>0.00367</v>
      </c>
      <c r="M61" s="16">
        <f>G61*L61</f>
        <v>0.14248775000000002</v>
      </c>
      <c r="N61" s="5"/>
      <c r="Y61" s="26">
        <f>IF(AP61="5",BI61,0)</f>
        <v>0</v>
      </c>
      <c r="AA61" s="26">
        <f>IF(AP61="1",BG61,0)</f>
        <v>0</v>
      </c>
      <c r="AB61" s="26">
        <f>IF(AP61="1",BH61,0)</f>
        <v>0</v>
      </c>
      <c r="AC61" s="26">
        <f>IF(AP61="7",BG61,0)</f>
        <v>0</v>
      </c>
      <c r="AD61" s="26">
        <f>IF(AP61="7",BH61,0)</f>
        <v>0</v>
      </c>
      <c r="AE61" s="26">
        <f>IF(AP61="2",BG61,0)</f>
        <v>0</v>
      </c>
      <c r="AF61" s="26">
        <f>IF(AP61="2",BH61,0)</f>
        <v>0</v>
      </c>
      <c r="AG61" s="26">
        <f>IF(AP61="0",BI61,0)</f>
        <v>0</v>
      </c>
      <c r="AH61" s="24" t="s">
        <v>273</v>
      </c>
      <c r="AI61" s="16">
        <f>IF(AM61=0,K61,0)</f>
        <v>0</v>
      </c>
      <c r="AJ61" s="16">
        <f>IF(AM61=15,K61,0)</f>
        <v>0</v>
      </c>
      <c r="AK61" s="16">
        <f>IF(AM61=21,K61,0)</f>
        <v>0</v>
      </c>
      <c r="AM61" s="26">
        <v>15</v>
      </c>
      <c r="AN61" s="26">
        <f>H61*0.316696440764163</f>
        <v>0</v>
      </c>
      <c r="AO61" s="26">
        <f>H61*(1-0.316696440764163)</f>
        <v>0</v>
      </c>
      <c r="AP61" s="27" t="s">
        <v>7</v>
      </c>
      <c r="AU61" s="26">
        <f>AV61+AW61</f>
        <v>0</v>
      </c>
      <c r="AV61" s="26">
        <f>G61*AN61</f>
        <v>0</v>
      </c>
      <c r="AW61" s="26">
        <f>G61*AO61</f>
        <v>0</v>
      </c>
      <c r="AX61" s="29" t="s">
        <v>887</v>
      </c>
      <c r="AY61" s="29" t="s">
        <v>924</v>
      </c>
      <c r="AZ61" s="24" t="s">
        <v>937</v>
      </c>
      <c r="BB61" s="26">
        <f>AV61+AW61</f>
        <v>0</v>
      </c>
      <c r="BC61" s="26">
        <f>H61/(100-BD61)*100</f>
        <v>0</v>
      </c>
      <c r="BD61" s="26">
        <v>0</v>
      </c>
      <c r="BE61" s="26">
        <f>M61</f>
        <v>0.14248775000000002</v>
      </c>
      <c r="BG61" s="16">
        <f>G61*AN61</f>
        <v>0</v>
      </c>
      <c r="BH61" s="16">
        <f>G61*AO61</f>
        <v>0</v>
      </c>
      <c r="BI61" s="16">
        <f>G61*H61</f>
        <v>0</v>
      </c>
      <c r="BJ61" s="16" t="s">
        <v>945</v>
      </c>
      <c r="BK61" s="26">
        <v>62</v>
      </c>
    </row>
    <row r="62" spans="1:14" s="58" customFormat="1" ht="12.75">
      <c r="A62" s="57"/>
      <c r="C62" s="59" t="s">
        <v>1004</v>
      </c>
      <c r="D62" s="234" t="s">
        <v>586</v>
      </c>
      <c r="E62" s="235"/>
      <c r="F62" s="235"/>
      <c r="G62" s="235"/>
      <c r="H62" s="235"/>
      <c r="I62" s="235"/>
      <c r="J62" s="235"/>
      <c r="K62" s="235"/>
      <c r="L62" s="235"/>
      <c r="M62" s="235"/>
      <c r="N62" s="57"/>
    </row>
    <row r="63" spans="1:14" s="58" customFormat="1" ht="12.75">
      <c r="A63" s="57"/>
      <c r="C63" s="59" t="s">
        <v>991</v>
      </c>
      <c r="D63" s="232" t="s">
        <v>1007</v>
      </c>
      <c r="E63" s="233"/>
      <c r="F63" s="233"/>
      <c r="G63" s="233"/>
      <c r="H63" s="233"/>
      <c r="I63" s="233"/>
      <c r="J63" s="233"/>
      <c r="K63" s="233"/>
      <c r="L63" s="233"/>
      <c r="M63" s="233"/>
      <c r="N63" s="57"/>
    </row>
    <row r="64" spans="1:63" ht="12.75">
      <c r="A64" s="4" t="s">
        <v>37</v>
      </c>
      <c r="B64" s="12" t="s">
        <v>273</v>
      </c>
      <c r="C64" s="53" t="s">
        <v>303</v>
      </c>
      <c r="D64" s="230" t="s">
        <v>585</v>
      </c>
      <c r="E64" s="231"/>
      <c r="F64" s="62" t="s">
        <v>847</v>
      </c>
      <c r="G64" s="104">
        <v>1202.782</v>
      </c>
      <c r="H64" s="104"/>
      <c r="I64" s="16">
        <f>G64*AN64</f>
        <v>0</v>
      </c>
      <c r="J64" s="16">
        <f>G64*AO64</f>
        <v>0</v>
      </c>
      <c r="K64" s="126">
        <f>G64*H64</f>
        <v>0</v>
      </c>
      <c r="L64" s="16">
        <v>0.00367</v>
      </c>
      <c r="M64" s="16">
        <f>G64*L64</f>
        <v>4.41420994</v>
      </c>
      <c r="N64" s="5"/>
      <c r="Y64" s="26">
        <f>IF(AP64="5",BI64,0)</f>
        <v>0</v>
      </c>
      <c r="AA64" s="26">
        <f>IF(AP64="1",BG64,0)</f>
        <v>0</v>
      </c>
      <c r="AB64" s="26">
        <f>IF(AP64="1",BH64,0)</f>
        <v>0</v>
      </c>
      <c r="AC64" s="26">
        <f>IF(AP64="7",BG64,0)</f>
        <v>0</v>
      </c>
      <c r="AD64" s="26">
        <f>IF(AP64="7",BH64,0)</f>
        <v>0</v>
      </c>
      <c r="AE64" s="26">
        <f>IF(AP64="2",BG64,0)</f>
        <v>0</v>
      </c>
      <c r="AF64" s="26">
        <f>IF(AP64="2",BH64,0)</f>
        <v>0</v>
      </c>
      <c r="AG64" s="26">
        <f>IF(AP64="0",BI64,0)</f>
        <v>0</v>
      </c>
      <c r="AH64" s="24" t="s">
        <v>273</v>
      </c>
      <c r="AI64" s="16">
        <f>IF(AM64=0,K64,0)</f>
        <v>0</v>
      </c>
      <c r="AJ64" s="16">
        <f>IF(AM64=15,K64,0)</f>
        <v>0</v>
      </c>
      <c r="AK64" s="16">
        <f>IF(AM64=21,K64,0)</f>
        <v>0</v>
      </c>
      <c r="AM64" s="26">
        <v>15</v>
      </c>
      <c r="AN64" s="26">
        <f>H64*0.363288419544668</f>
        <v>0</v>
      </c>
      <c r="AO64" s="26">
        <f>H64*(1-0.363288419544668)</f>
        <v>0</v>
      </c>
      <c r="AP64" s="27" t="s">
        <v>7</v>
      </c>
      <c r="AU64" s="26">
        <f>AV64+AW64</f>
        <v>0</v>
      </c>
      <c r="AV64" s="26">
        <f>G64*AN64</f>
        <v>0</v>
      </c>
      <c r="AW64" s="26">
        <f>G64*AO64</f>
        <v>0</v>
      </c>
      <c r="AX64" s="29" t="s">
        <v>887</v>
      </c>
      <c r="AY64" s="29" t="s">
        <v>924</v>
      </c>
      <c r="AZ64" s="24" t="s">
        <v>937</v>
      </c>
      <c r="BB64" s="26">
        <f>AV64+AW64</f>
        <v>0</v>
      </c>
      <c r="BC64" s="26">
        <f>H64/(100-BD64)*100</f>
        <v>0</v>
      </c>
      <c r="BD64" s="26">
        <v>0</v>
      </c>
      <c r="BE64" s="26">
        <f>M64</f>
        <v>4.41420994</v>
      </c>
      <c r="BG64" s="16">
        <f>G64*AN64</f>
        <v>0</v>
      </c>
      <c r="BH64" s="16">
        <f>G64*AO64</f>
        <v>0</v>
      </c>
      <c r="BI64" s="16">
        <f>G64*H64</f>
        <v>0</v>
      </c>
      <c r="BJ64" s="16" t="s">
        <v>945</v>
      </c>
      <c r="BK64" s="26">
        <v>62</v>
      </c>
    </row>
    <row r="65" spans="1:14" s="58" customFormat="1" ht="12.75">
      <c r="A65" s="57"/>
      <c r="C65" s="59" t="s">
        <v>1004</v>
      </c>
      <c r="D65" s="234" t="s">
        <v>586</v>
      </c>
      <c r="E65" s="235"/>
      <c r="F65" s="235"/>
      <c r="G65" s="235"/>
      <c r="H65" s="235"/>
      <c r="I65" s="235"/>
      <c r="J65" s="235"/>
      <c r="K65" s="235"/>
      <c r="L65" s="235"/>
      <c r="M65" s="235"/>
      <c r="N65" s="57"/>
    </row>
    <row r="66" spans="1:14" s="58" customFormat="1" ht="12.75">
      <c r="A66" s="57"/>
      <c r="C66" s="59" t="s">
        <v>991</v>
      </c>
      <c r="D66" s="232" t="s">
        <v>1009</v>
      </c>
      <c r="E66" s="233"/>
      <c r="F66" s="233"/>
      <c r="G66" s="233"/>
      <c r="H66" s="233"/>
      <c r="I66" s="233"/>
      <c r="J66" s="233"/>
      <c r="K66" s="233"/>
      <c r="L66" s="233"/>
      <c r="M66" s="233"/>
      <c r="N66" s="57"/>
    </row>
    <row r="67" spans="1:63" ht="12.75">
      <c r="A67" s="4" t="s">
        <v>38</v>
      </c>
      <c r="B67" s="12" t="s">
        <v>273</v>
      </c>
      <c r="C67" s="53" t="s">
        <v>304</v>
      </c>
      <c r="D67" s="230" t="s">
        <v>1010</v>
      </c>
      <c r="E67" s="231"/>
      <c r="F67" s="62" t="s">
        <v>847</v>
      </c>
      <c r="G67" s="104">
        <v>112.572</v>
      </c>
      <c r="H67" s="104"/>
      <c r="I67" s="16">
        <f>G67*AN67</f>
        <v>0</v>
      </c>
      <c r="J67" s="16">
        <f>G67*AO67</f>
        <v>0</v>
      </c>
      <c r="K67" s="126">
        <f>G67*H67</f>
        <v>0</v>
      </c>
      <c r="L67" s="16">
        <v>0.00367</v>
      </c>
      <c r="M67" s="16">
        <f>G67*L67</f>
        <v>0.41313924</v>
      </c>
      <c r="N67" s="5"/>
      <c r="Y67" s="26">
        <f>IF(AP67="5",BI67,0)</f>
        <v>0</v>
      </c>
      <c r="AA67" s="26">
        <f>IF(AP67="1",BG67,0)</f>
        <v>0</v>
      </c>
      <c r="AB67" s="26">
        <f>IF(AP67="1",BH67,0)</f>
        <v>0</v>
      </c>
      <c r="AC67" s="26">
        <f>IF(AP67="7",BG67,0)</f>
        <v>0</v>
      </c>
      <c r="AD67" s="26">
        <f>IF(AP67="7",BH67,0)</f>
        <v>0</v>
      </c>
      <c r="AE67" s="26">
        <f>IF(AP67="2",BG67,0)</f>
        <v>0</v>
      </c>
      <c r="AF67" s="26">
        <f>IF(AP67="2",BH67,0)</f>
        <v>0</v>
      </c>
      <c r="AG67" s="26">
        <f>IF(AP67="0",BI67,0)</f>
        <v>0</v>
      </c>
      <c r="AH67" s="24" t="s">
        <v>273</v>
      </c>
      <c r="AI67" s="16">
        <f>IF(AM67=0,K67,0)</f>
        <v>0</v>
      </c>
      <c r="AJ67" s="16">
        <f>IF(AM67=15,K67,0)</f>
        <v>0</v>
      </c>
      <c r="AK67" s="16">
        <f>IF(AM67=21,K67,0)</f>
        <v>0</v>
      </c>
      <c r="AM67" s="26">
        <v>15</v>
      </c>
      <c r="AN67" s="26">
        <f>H67*0.373296488125316</f>
        <v>0</v>
      </c>
      <c r="AO67" s="26">
        <f>H67*(1-0.373296488125316)</f>
        <v>0</v>
      </c>
      <c r="AP67" s="27" t="s">
        <v>7</v>
      </c>
      <c r="AU67" s="26">
        <f>AV67+AW67</f>
        <v>0</v>
      </c>
      <c r="AV67" s="26">
        <f>G67*AN67</f>
        <v>0</v>
      </c>
      <c r="AW67" s="26">
        <f>G67*AO67</f>
        <v>0</v>
      </c>
      <c r="AX67" s="29" t="s">
        <v>887</v>
      </c>
      <c r="AY67" s="29" t="s">
        <v>924</v>
      </c>
      <c r="AZ67" s="24" t="s">
        <v>937</v>
      </c>
      <c r="BB67" s="26">
        <f>AV67+AW67</f>
        <v>0</v>
      </c>
      <c r="BC67" s="26">
        <f>H67/(100-BD67)*100</f>
        <v>0</v>
      </c>
      <c r="BD67" s="26">
        <v>0</v>
      </c>
      <c r="BE67" s="26">
        <f>M67</f>
        <v>0.41313924</v>
      </c>
      <c r="BG67" s="16">
        <f>G67*AN67</f>
        <v>0</v>
      </c>
      <c r="BH67" s="16">
        <f>G67*AO67</f>
        <v>0</v>
      </c>
      <c r="BI67" s="16">
        <f>G67*H67</f>
        <v>0</v>
      </c>
      <c r="BJ67" s="16" t="s">
        <v>945</v>
      </c>
      <c r="BK67" s="26">
        <v>62</v>
      </c>
    </row>
    <row r="68" spans="1:14" s="58" customFormat="1" ht="12.75">
      <c r="A68" s="57"/>
      <c r="C68" s="59" t="s">
        <v>1004</v>
      </c>
      <c r="D68" s="234" t="s">
        <v>586</v>
      </c>
      <c r="E68" s="235"/>
      <c r="F68" s="235"/>
      <c r="G68" s="235"/>
      <c r="H68" s="235"/>
      <c r="I68" s="235"/>
      <c r="J68" s="235"/>
      <c r="K68" s="235"/>
      <c r="L68" s="235"/>
      <c r="M68" s="235"/>
      <c r="N68" s="57"/>
    </row>
    <row r="69" spans="1:14" s="58" customFormat="1" ht="12.75">
      <c r="A69" s="57"/>
      <c r="C69" s="59" t="s">
        <v>991</v>
      </c>
      <c r="D69" s="232" t="s">
        <v>1008</v>
      </c>
      <c r="E69" s="233"/>
      <c r="F69" s="233"/>
      <c r="G69" s="233"/>
      <c r="H69" s="233"/>
      <c r="I69" s="233"/>
      <c r="J69" s="233"/>
      <c r="K69" s="233"/>
      <c r="L69" s="233"/>
      <c r="M69" s="233"/>
      <c r="N69" s="57"/>
    </row>
    <row r="70" spans="1:63" ht="12.75">
      <c r="A70" s="4" t="s">
        <v>39</v>
      </c>
      <c r="B70" s="12" t="s">
        <v>273</v>
      </c>
      <c r="C70" s="53" t="s">
        <v>305</v>
      </c>
      <c r="D70" s="230" t="s">
        <v>587</v>
      </c>
      <c r="E70" s="231"/>
      <c r="F70" s="62" t="s">
        <v>847</v>
      </c>
      <c r="G70" s="104">
        <v>3.862</v>
      </c>
      <c r="H70" s="104"/>
      <c r="I70" s="16">
        <f>G70*AN70</f>
        <v>0</v>
      </c>
      <c r="J70" s="16">
        <f>G70*AO70</f>
        <v>0</v>
      </c>
      <c r="K70" s="126">
        <f>G70*H70</f>
        <v>0</v>
      </c>
      <c r="L70" s="16">
        <v>0.01825</v>
      </c>
      <c r="M70" s="16">
        <f>G70*L70</f>
        <v>0.0704815</v>
      </c>
      <c r="N70" s="5"/>
      <c r="Y70" s="26">
        <f>IF(AP70="5",BI70,0)</f>
        <v>0</v>
      </c>
      <c r="AA70" s="26">
        <f>IF(AP70="1",BG70,0)</f>
        <v>0</v>
      </c>
      <c r="AB70" s="26">
        <f>IF(AP70="1",BH70,0)</f>
        <v>0</v>
      </c>
      <c r="AC70" s="26">
        <f>IF(AP70="7",BG70,0)</f>
        <v>0</v>
      </c>
      <c r="AD70" s="26">
        <f>IF(AP70="7",BH70,0)</f>
        <v>0</v>
      </c>
      <c r="AE70" s="26">
        <f>IF(AP70="2",BG70,0)</f>
        <v>0</v>
      </c>
      <c r="AF70" s="26">
        <f>IF(AP70="2",BH70,0)</f>
        <v>0</v>
      </c>
      <c r="AG70" s="26">
        <f>IF(AP70="0",BI70,0)</f>
        <v>0</v>
      </c>
      <c r="AH70" s="24" t="s">
        <v>273</v>
      </c>
      <c r="AI70" s="16">
        <f>IF(AM70=0,K70,0)</f>
        <v>0</v>
      </c>
      <c r="AJ70" s="16">
        <f>IF(AM70=15,K70,0)</f>
        <v>0</v>
      </c>
      <c r="AK70" s="16">
        <f>IF(AM70=21,K70,0)</f>
        <v>0</v>
      </c>
      <c r="AM70" s="26">
        <v>15</v>
      </c>
      <c r="AN70" s="26">
        <f>H70*0.409371765111352</f>
        <v>0</v>
      </c>
      <c r="AO70" s="26">
        <f>H70*(1-0.409371765111352)</f>
        <v>0</v>
      </c>
      <c r="AP70" s="27" t="s">
        <v>7</v>
      </c>
      <c r="AU70" s="26">
        <f>AV70+AW70</f>
        <v>0</v>
      </c>
      <c r="AV70" s="26">
        <f>G70*AN70</f>
        <v>0</v>
      </c>
      <c r="AW70" s="26">
        <f>G70*AO70</f>
        <v>0</v>
      </c>
      <c r="AX70" s="29" t="s">
        <v>887</v>
      </c>
      <c r="AY70" s="29" t="s">
        <v>924</v>
      </c>
      <c r="AZ70" s="24" t="s">
        <v>937</v>
      </c>
      <c r="BB70" s="26">
        <f>AV70+AW70</f>
        <v>0</v>
      </c>
      <c r="BC70" s="26">
        <f>H70/(100-BD70)*100</f>
        <v>0</v>
      </c>
      <c r="BD70" s="26">
        <v>0</v>
      </c>
      <c r="BE70" s="26">
        <f>M70</f>
        <v>0.0704815</v>
      </c>
      <c r="BG70" s="16">
        <f>G70*AN70</f>
        <v>0</v>
      </c>
      <c r="BH70" s="16">
        <f>G70*AO70</f>
        <v>0</v>
      </c>
      <c r="BI70" s="16">
        <f>G70*H70</f>
        <v>0</v>
      </c>
      <c r="BJ70" s="16" t="s">
        <v>945</v>
      </c>
      <c r="BK70" s="26">
        <v>62</v>
      </c>
    </row>
    <row r="71" spans="1:14" s="58" customFormat="1" ht="12.75">
      <c r="A71" s="57"/>
      <c r="C71" s="59" t="s">
        <v>991</v>
      </c>
      <c r="D71" s="232" t="s">
        <v>1011</v>
      </c>
      <c r="E71" s="233"/>
      <c r="F71" s="233"/>
      <c r="G71" s="233"/>
      <c r="H71" s="233"/>
      <c r="I71" s="233"/>
      <c r="J71" s="233"/>
      <c r="K71" s="233"/>
      <c r="L71" s="233"/>
      <c r="M71" s="233"/>
      <c r="N71" s="57"/>
    </row>
    <row r="72" spans="1:63" ht="12.75">
      <c r="A72" s="4" t="s">
        <v>40</v>
      </c>
      <c r="B72" s="12" t="s">
        <v>273</v>
      </c>
      <c r="C72" s="53" t="s">
        <v>1012</v>
      </c>
      <c r="D72" s="230" t="s">
        <v>1013</v>
      </c>
      <c r="E72" s="231"/>
      <c r="F72" s="62" t="s">
        <v>847</v>
      </c>
      <c r="G72" s="104">
        <v>110.455</v>
      </c>
      <c r="H72" s="104"/>
      <c r="I72" s="16">
        <f>G72*AN72</f>
        <v>0</v>
      </c>
      <c r="J72" s="16">
        <f>G72*AO72</f>
        <v>0</v>
      </c>
      <c r="K72" s="126">
        <f>G72*H72</f>
        <v>0</v>
      </c>
      <c r="L72" s="16">
        <v>0.00065</v>
      </c>
      <c r="M72" s="16">
        <f>G72*L72</f>
        <v>0.07179574999999999</v>
      </c>
      <c r="N72" s="5"/>
      <c r="Y72" s="26">
        <f>IF(AP72="5",BI72,0)</f>
        <v>0</v>
      </c>
      <c r="AA72" s="26">
        <f>IF(AP72="1",BG72,0)</f>
        <v>0</v>
      </c>
      <c r="AB72" s="26">
        <f>IF(AP72="1",BH72,0)</f>
        <v>0</v>
      </c>
      <c r="AC72" s="26">
        <f>IF(AP72="7",BG72,0)</f>
        <v>0</v>
      </c>
      <c r="AD72" s="26">
        <f>IF(AP72="7",BH72,0)</f>
        <v>0</v>
      </c>
      <c r="AE72" s="26">
        <f>IF(AP72="2",BG72,0)</f>
        <v>0</v>
      </c>
      <c r="AF72" s="26">
        <f>IF(AP72="2",BH72,0)</f>
        <v>0</v>
      </c>
      <c r="AG72" s="26">
        <f>IF(AP72="0",BI72,0)</f>
        <v>0</v>
      </c>
      <c r="AH72" s="24" t="s">
        <v>273</v>
      </c>
      <c r="AI72" s="16">
        <f>IF(AM72=0,K72,0)</f>
        <v>0</v>
      </c>
      <c r="AJ72" s="16">
        <f>IF(AM72=15,K72,0)</f>
        <v>0</v>
      </c>
      <c r="AK72" s="16">
        <f>IF(AM72=21,K72,0)</f>
        <v>0</v>
      </c>
      <c r="AM72" s="26">
        <v>15</v>
      </c>
      <c r="AN72" s="26">
        <f>H72*0.561011904761905</f>
        <v>0</v>
      </c>
      <c r="AO72" s="26">
        <f>H72*(1-0.561011904761905)</f>
        <v>0</v>
      </c>
      <c r="AP72" s="27" t="s">
        <v>7</v>
      </c>
      <c r="AU72" s="26">
        <f>AV72+AW72</f>
        <v>0</v>
      </c>
      <c r="AV72" s="26">
        <f>G72*AN72</f>
        <v>0</v>
      </c>
      <c r="AW72" s="26">
        <f>G72*AO72</f>
        <v>0</v>
      </c>
      <c r="AX72" s="29" t="s">
        <v>887</v>
      </c>
      <c r="AY72" s="29" t="s">
        <v>924</v>
      </c>
      <c r="AZ72" s="24" t="s">
        <v>937</v>
      </c>
      <c r="BB72" s="26">
        <f>AV72+AW72</f>
        <v>0</v>
      </c>
      <c r="BC72" s="26">
        <f>H72/(100-BD72)*100</f>
        <v>0</v>
      </c>
      <c r="BD72" s="26">
        <v>0</v>
      </c>
      <c r="BE72" s="26">
        <f>M72</f>
        <v>0.07179574999999999</v>
      </c>
      <c r="BG72" s="16">
        <f>G72*AN72</f>
        <v>0</v>
      </c>
      <c r="BH72" s="16">
        <f>G72*AO72</f>
        <v>0</v>
      </c>
      <c r="BI72" s="16">
        <f>G72*H72</f>
        <v>0</v>
      </c>
      <c r="BJ72" s="16" t="s">
        <v>945</v>
      </c>
      <c r="BK72" s="26">
        <v>62</v>
      </c>
    </row>
    <row r="73" spans="1:14" s="58" customFormat="1" ht="12.75">
      <c r="A73" s="57"/>
      <c r="C73" s="59" t="s">
        <v>991</v>
      </c>
      <c r="D73" s="232" t="s">
        <v>1014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"/>
    </row>
    <row r="74" spans="1:63" ht="12.75">
      <c r="A74" s="4" t="s">
        <v>41</v>
      </c>
      <c r="B74" s="12" t="s">
        <v>273</v>
      </c>
      <c r="C74" s="53" t="s">
        <v>1016</v>
      </c>
      <c r="D74" s="230" t="s">
        <v>1015</v>
      </c>
      <c r="E74" s="231"/>
      <c r="F74" s="62" t="s">
        <v>846</v>
      </c>
      <c r="G74" s="104">
        <v>8</v>
      </c>
      <c r="H74" s="104"/>
      <c r="I74" s="16">
        <f>G74*AN74</f>
        <v>0</v>
      </c>
      <c r="J74" s="16">
        <f>G74*AO74</f>
        <v>0</v>
      </c>
      <c r="K74" s="126">
        <f>G74*H74</f>
        <v>0</v>
      </c>
      <c r="L74" s="16">
        <v>0.00051</v>
      </c>
      <c r="M74" s="16">
        <f>G74*L74</f>
        <v>0.00408</v>
      </c>
      <c r="N74" s="5"/>
      <c r="Y74" s="26">
        <f>IF(AP74="5",BI74,0)</f>
        <v>0</v>
      </c>
      <c r="AA74" s="26">
        <f>IF(AP74="1",BG74,0)</f>
        <v>0</v>
      </c>
      <c r="AB74" s="26">
        <f>IF(AP74="1",BH74,0)</f>
        <v>0</v>
      </c>
      <c r="AC74" s="26">
        <f>IF(AP74="7",BG74,0)</f>
        <v>0</v>
      </c>
      <c r="AD74" s="26">
        <f>IF(AP74="7",BH74,0)</f>
        <v>0</v>
      </c>
      <c r="AE74" s="26">
        <f>IF(AP74="2",BG74,0)</f>
        <v>0</v>
      </c>
      <c r="AF74" s="26">
        <f>IF(AP74="2",BH74,0)</f>
        <v>0</v>
      </c>
      <c r="AG74" s="26">
        <f>IF(AP74="0",BI74,0)</f>
        <v>0</v>
      </c>
      <c r="AH74" s="24" t="s">
        <v>273</v>
      </c>
      <c r="AI74" s="16">
        <f>IF(AM74=0,K74,0)</f>
        <v>0</v>
      </c>
      <c r="AJ74" s="16">
        <f>IF(AM74=15,K74,0)</f>
        <v>0</v>
      </c>
      <c r="AK74" s="16">
        <f>IF(AM74=21,K74,0)</f>
        <v>0</v>
      </c>
      <c r="AM74" s="26">
        <v>15</v>
      </c>
      <c r="AN74" s="26">
        <f>H74*0.779314544189283</f>
        <v>0</v>
      </c>
      <c r="AO74" s="26">
        <f>H74*(1-0.779314544189283)</f>
        <v>0</v>
      </c>
      <c r="AP74" s="27" t="s">
        <v>7</v>
      </c>
      <c r="AU74" s="26">
        <f>AV74+AW74</f>
        <v>0</v>
      </c>
      <c r="AV74" s="26">
        <f>G74*AN74</f>
        <v>0</v>
      </c>
      <c r="AW74" s="26">
        <f>G74*AO74</f>
        <v>0</v>
      </c>
      <c r="AX74" s="29" t="s">
        <v>887</v>
      </c>
      <c r="AY74" s="29" t="s">
        <v>924</v>
      </c>
      <c r="AZ74" s="24" t="s">
        <v>937</v>
      </c>
      <c r="BB74" s="26">
        <f>AV74+AW74</f>
        <v>0</v>
      </c>
      <c r="BC74" s="26">
        <f>H74/(100-BD74)*100</f>
        <v>0</v>
      </c>
      <c r="BD74" s="26">
        <v>0</v>
      </c>
      <c r="BE74" s="26">
        <f>M74</f>
        <v>0.00408</v>
      </c>
      <c r="BG74" s="16">
        <f>G74*AN74</f>
        <v>0</v>
      </c>
      <c r="BH74" s="16">
        <f>G74*AO74</f>
        <v>0</v>
      </c>
      <c r="BI74" s="16">
        <f>G74*H74</f>
        <v>0</v>
      </c>
      <c r="BJ74" s="16" t="s">
        <v>945</v>
      </c>
      <c r="BK74" s="26">
        <v>62</v>
      </c>
    </row>
    <row r="75" spans="1:63" ht="12.75">
      <c r="A75" s="4" t="s">
        <v>42</v>
      </c>
      <c r="B75" s="12" t="s">
        <v>273</v>
      </c>
      <c r="C75" s="53" t="s">
        <v>1017</v>
      </c>
      <c r="D75" s="230" t="s">
        <v>1699</v>
      </c>
      <c r="E75" s="231"/>
      <c r="F75" s="62" t="s">
        <v>846</v>
      </c>
      <c r="G75" s="104">
        <v>9</v>
      </c>
      <c r="H75" s="104"/>
      <c r="I75" s="16">
        <f>G75*AN75</f>
        <v>0</v>
      </c>
      <c r="J75" s="16">
        <f>G75*AO75</f>
        <v>0</v>
      </c>
      <c r="K75" s="126">
        <f>G75*H75</f>
        <v>0</v>
      </c>
      <c r="L75" s="16">
        <v>0.00051</v>
      </c>
      <c r="M75" s="16">
        <f>G75*L75</f>
        <v>0.00459</v>
      </c>
      <c r="N75" s="5"/>
      <c r="Y75" s="26">
        <f>IF(AP75="5",BI75,0)</f>
        <v>0</v>
      </c>
      <c r="AA75" s="26">
        <f>IF(AP75="1",BG75,0)</f>
        <v>0</v>
      </c>
      <c r="AB75" s="26">
        <f>IF(AP75="1",BH75,0)</f>
        <v>0</v>
      </c>
      <c r="AC75" s="26">
        <f>IF(AP75="7",BG75,0)</f>
        <v>0</v>
      </c>
      <c r="AD75" s="26">
        <f>IF(AP75="7",BH75,0)</f>
        <v>0</v>
      </c>
      <c r="AE75" s="26">
        <f>IF(AP75="2",BG75,0)</f>
        <v>0</v>
      </c>
      <c r="AF75" s="26">
        <f>IF(AP75="2",BH75,0)</f>
        <v>0</v>
      </c>
      <c r="AG75" s="26">
        <f>IF(AP75="0",BI75,0)</f>
        <v>0</v>
      </c>
      <c r="AH75" s="24" t="s">
        <v>273</v>
      </c>
      <c r="AI75" s="16">
        <f>IF(AM75=0,K75,0)</f>
        <v>0</v>
      </c>
      <c r="AJ75" s="16">
        <f>IF(AM75=15,K75,0)</f>
        <v>0</v>
      </c>
      <c r="AK75" s="16">
        <f>IF(AM75=21,K75,0)</f>
        <v>0</v>
      </c>
      <c r="AM75" s="26">
        <v>15</v>
      </c>
      <c r="AN75" s="26">
        <f>H75*0.779314544189283</f>
        <v>0</v>
      </c>
      <c r="AO75" s="26">
        <f>H75*(1-0.779314544189283)</f>
        <v>0</v>
      </c>
      <c r="AP75" s="27" t="s">
        <v>7</v>
      </c>
      <c r="AU75" s="26">
        <f>AV75+AW75</f>
        <v>0</v>
      </c>
      <c r="AV75" s="26">
        <f>G75*AN75</f>
        <v>0</v>
      </c>
      <c r="AW75" s="26">
        <f>G75*AO75</f>
        <v>0</v>
      </c>
      <c r="AX75" s="29" t="s">
        <v>887</v>
      </c>
      <c r="AY75" s="29" t="s">
        <v>924</v>
      </c>
      <c r="AZ75" s="24" t="s">
        <v>937</v>
      </c>
      <c r="BB75" s="26">
        <f>AV75+AW75</f>
        <v>0</v>
      </c>
      <c r="BC75" s="26">
        <f>H75/(100-BD75)*100</f>
        <v>0</v>
      </c>
      <c r="BD75" s="26">
        <v>0</v>
      </c>
      <c r="BE75" s="26">
        <f>M75</f>
        <v>0.00459</v>
      </c>
      <c r="BG75" s="16">
        <f>G75*AN75</f>
        <v>0</v>
      </c>
      <c r="BH75" s="16">
        <f>G75*AO75</f>
        <v>0</v>
      </c>
      <c r="BI75" s="16">
        <f>G75*H75</f>
        <v>0</v>
      </c>
      <c r="BJ75" s="16" t="s">
        <v>945</v>
      </c>
      <c r="BK75" s="26">
        <v>62</v>
      </c>
    </row>
    <row r="76" spans="1:63" ht="12.75">
      <c r="A76" s="4"/>
      <c r="B76" s="12"/>
      <c r="C76" s="59" t="s">
        <v>991</v>
      </c>
      <c r="D76" s="232" t="s">
        <v>1021</v>
      </c>
      <c r="E76" s="233"/>
      <c r="F76" s="233"/>
      <c r="G76" s="233"/>
      <c r="H76" s="233"/>
      <c r="I76" s="233"/>
      <c r="J76" s="233"/>
      <c r="K76" s="233"/>
      <c r="L76" s="233"/>
      <c r="M76" s="233"/>
      <c r="N76" s="5"/>
      <c r="Y76" s="26"/>
      <c r="AA76" s="26"/>
      <c r="AB76" s="26"/>
      <c r="AC76" s="26"/>
      <c r="AD76" s="26"/>
      <c r="AE76" s="26"/>
      <c r="AF76" s="26"/>
      <c r="AG76" s="26"/>
      <c r="AH76" s="24"/>
      <c r="AI76" s="16"/>
      <c r="AJ76" s="16"/>
      <c r="AK76" s="16"/>
      <c r="AM76" s="26"/>
      <c r="AN76" s="26"/>
      <c r="AO76" s="26"/>
      <c r="AP76" s="27"/>
      <c r="AU76" s="26"/>
      <c r="AV76" s="26"/>
      <c r="AW76" s="26"/>
      <c r="AX76" s="29"/>
      <c r="AY76" s="29"/>
      <c r="AZ76" s="24"/>
      <c r="BB76" s="26"/>
      <c r="BC76" s="26"/>
      <c r="BD76" s="26"/>
      <c r="BE76" s="26"/>
      <c r="BG76" s="16"/>
      <c r="BH76" s="16"/>
      <c r="BI76" s="16"/>
      <c r="BJ76" s="16"/>
      <c r="BK76" s="26"/>
    </row>
    <row r="77" spans="1:63" ht="12.75">
      <c r="A77" s="4" t="s">
        <v>43</v>
      </c>
      <c r="B77" s="12" t="s">
        <v>273</v>
      </c>
      <c r="C77" s="53" t="s">
        <v>306</v>
      </c>
      <c r="D77" s="230" t="s">
        <v>588</v>
      </c>
      <c r="E77" s="231"/>
      <c r="F77" s="62" t="s">
        <v>847</v>
      </c>
      <c r="G77" s="104">
        <v>16.92</v>
      </c>
      <c r="H77" s="104"/>
      <c r="I77" s="16">
        <f>G77*AN77</f>
        <v>0</v>
      </c>
      <c r="J77" s="16">
        <f>G77*AO77</f>
        <v>0</v>
      </c>
      <c r="K77" s="126">
        <f>G77*H77</f>
        <v>0</v>
      </c>
      <c r="L77" s="16">
        <v>0.01943</v>
      </c>
      <c r="M77" s="16">
        <f>G77*L77</f>
        <v>0.32875560000000004</v>
      </c>
      <c r="N77" s="5"/>
      <c r="Y77" s="26">
        <f>IF(AP77="5",BI77,0)</f>
        <v>0</v>
      </c>
      <c r="AA77" s="26">
        <f>IF(AP77="1",BG77,0)</f>
        <v>0</v>
      </c>
      <c r="AB77" s="26">
        <f>IF(AP77="1",BH77,0)</f>
        <v>0</v>
      </c>
      <c r="AC77" s="26">
        <f>IF(AP77="7",BG77,0)</f>
        <v>0</v>
      </c>
      <c r="AD77" s="26">
        <f>IF(AP77="7",BH77,0)</f>
        <v>0</v>
      </c>
      <c r="AE77" s="26">
        <f>IF(AP77="2",BG77,0)</f>
        <v>0</v>
      </c>
      <c r="AF77" s="26">
        <f>IF(AP77="2",BH77,0)</f>
        <v>0</v>
      </c>
      <c r="AG77" s="26">
        <f>IF(AP77="0",BI77,0)</f>
        <v>0</v>
      </c>
      <c r="AH77" s="24" t="s">
        <v>273</v>
      </c>
      <c r="AI77" s="16">
        <f>IF(AM77=0,K77,0)</f>
        <v>0</v>
      </c>
      <c r="AJ77" s="16">
        <f>IF(AM77=15,K77,0)</f>
        <v>0</v>
      </c>
      <c r="AK77" s="16">
        <f>IF(AM77=21,K77,0)</f>
        <v>0</v>
      </c>
      <c r="AM77" s="26">
        <v>15</v>
      </c>
      <c r="AN77" s="26">
        <f>H77*0.546468089321049</f>
        <v>0</v>
      </c>
      <c r="AO77" s="26">
        <f>H77*(1-0.546468089321049)</f>
        <v>0</v>
      </c>
      <c r="AP77" s="27" t="s">
        <v>7</v>
      </c>
      <c r="AU77" s="26">
        <f>AV77+AW77</f>
        <v>0</v>
      </c>
      <c r="AV77" s="26">
        <f>G77*AN77</f>
        <v>0</v>
      </c>
      <c r="AW77" s="26">
        <f>G77*AO77</f>
        <v>0</v>
      </c>
      <c r="AX77" s="29" t="s">
        <v>887</v>
      </c>
      <c r="AY77" s="29" t="s">
        <v>924</v>
      </c>
      <c r="AZ77" s="24" t="s">
        <v>937</v>
      </c>
      <c r="BB77" s="26">
        <f>AV77+AW77</f>
        <v>0</v>
      </c>
      <c r="BC77" s="26">
        <f>H77/(100-BD77)*100</f>
        <v>0</v>
      </c>
      <c r="BD77" s="26">
        <v>0</v>
      </c>
      <c r="BE77" s="26">
        <f>M77</f>
        <v>0.32875560000000004</v>
      </c>
      <c r="BG77" s="16">
        <f>G77*AN77</f>
        <v>0</v>
      </c>
      <c r="BH77" s="16">
        <f>G77*AO77</f>
        <v>0</v>
      </c>
      <c r="BI77" s="16">
        <f>G77*H77</f>
        <v>0</v>
      </c>
      <c r="BJ77" s="16" t="s">
        <v>945</v>
      </c>
      <c r="BK77" s="26">
        <v>62</v>
      </c>
    </row>
    <row r="78" spans="1:14" s="58" customFormat="1" ht="12.75">
      <c r="A78" s="57"/>
      <c r="C78" s="59" t="s">
        <v>991</v>
      </c>
      <c r="D78" s="232" t="s">
        <v>1018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57"/>
    </row>
    <row r="79" spans="1:63" ht="12.75">
      <c r="A79" s="4" t="s">
        <v>44</v>
      </c>
      <c r="B79" s="12" t="s">
        <v>273</v>
      </c>
      <c r="C79" s="53" t="s">
        <v>307</v>
      </c>
      <c r="D79" s="230" t="s">
        <v>589</v>
      </c>
      <c r="E79" s="231"/>
      <c r="F79" s="62" t="s">
        <v>846</v>
      </c>
      <c r="G79" s="104">
        <v>562.0755</v>
      </c>
      <c r="H79" s="104"/>
      <c r="I79" s="16">
        <f>G79*AN79</f>
        <v>0</v>
      </c>
      <c r="J79" s="16">
        <f>G79*AO79</f>
        <v>0</v>
      </c>
      <c r="K79" s="126">
        <f>G79*H79</f>
        <v>0</v>
      </c>
      <c r="L79" s="16">
        <v>0</v>
      </c>
      <c r="M79" s="16">
        <f>G79*L79</f>
        <v>0</v>
      </c>
      <c r="N79" s="5"/>
      <c r="Y79" s="26">
        <f>IF(AP79="5",BI79,0)</f>
        <v>0</v>
      </c>
      <c r="AA79" s="26">
        <f>IF(AP79="1",BG79,0)</f>
        <v>0</v>
      </c>
      <c r="AB79" s="26">
        <f>IF(AP79="1",BH79,0)</f>
        <v>0</v>
      </c>
      <c r="AC79" s="26">
        <f>IF(AP79="7",BG79,0)</f>
        <v>0</v>
      </c>
      <c r="AD79" s="26">
        <f>IF(AP79="7",BH79,0)</f>
        <v>0</v>
      </c>
      <c r="AE79" s="26">
        <f>IF(AP79="2",BG79,0)</f>
        <v>0</v>
      </c>
      <c r="AF79" s="26">
        <f>IF(AP79="2",BH79,0)</f>
        <v>0</v>
      </c>
      <c r="AG79" s="26">
        <f>IF(AP79="0",BI79,0)</f>
        <v>0</v>
      </c>
      <c r="AH79" s="24" t="s">
        <v>273</v>
      </c>
      <c r="AI79" s="16">
        <f>IF(AM79=0,K79,0)</f>
        <v>0</v>
      </c>
      <c r="AJ79" s="16">
        <f>IF(AM79=15,K79,0)</f>
        <v>0</v>
      </c>
      <c r="AK79" s="16">
        <f>IF(AM79=21,K79,0)</f>
        <v>0</v>
      </c>
      <c r="AM79" s="26">
        <v>15</v>
      </c>
      <c r="AN79" s="26">
        <f>H79*0</f>
        <v>0</v>
      </c>
      <c r="AO79" s="26">
        <f>H79*(1-0)</f>
        <v>0</v>
      </c>
      <c r="AP79" s="27" t="s">
        <v>7</v>
      </c>
      <c r="AU79" s="26">
        <f>AV79+AW79</f>
        <v>0</v>
      </c>
      <c r="AV79" s="26">
        <f>G79*AN79</f>
        <v>0</v>
      </c>
      <c r="AW79" s="26">
        <f>G79*AO79</f>
        <v>0</v>
      </c>
      <c r="AX79" s="29" t="s">
        <v>887</v>
      </c>
      <c r="AY79" s="29" t="s">
        <v>924</v>
      </c>
      <c r="AZ79" s="24" t="s">
        <v>937</v>
      </c>
      <c r="BB79" s="26">
        <f>AV79+AW79</f>
        <v>0</v>
      </c>
      <c r="BC79" s="26">
        <f>H79/(100-BD79)*100</f>
        <v>0</v>
      </c>
      <c r="BD79" s="26">
        <v>0</v>
      </c>
      <c r="BE79" s="26">
        <f>M79</f>
        <v>0</v>
      </c>
      <c r="BG79" s="16">
        <f>G79*AN79</f>
        <v>0</v>
      </c>
      <c r="BH79" s="16">
        <f>G79*AO79</f>
        <v>0</v>
      </c>
      <c r="BI79" s="16">
        <f>G79*H79</f>
        <v>0</v>
      </c>
      <c r="BJ79" s="16" t="s">
        <v>945</v>
      </c>
      <c r="BK79" s="26">
        <v>62</v>
      </c>
    </row>
    <row r="80" spans="1:14" s="58" customFormat="1" ht="12.75">
      <c r="A80" s="57"/>
      <c r="C80" s="59" t="s">
        <v>991</v>
      </c>
      <c r="D80" s="232" t="s">
        <v>1019</v>
      </c>
      <c r="E80" s="233"/>
      <c r="F80" s="233"/>
      <c r="G80" s="233"/>
      <c r="H80" s="233"/>
      <c r="I80" s="233"/>
      <c r="J80" s="233"/>
      <c r="K80" s="233"/>
      <c r="L80" s="233"/>
      <c r="M80" s="233"/>
      <c r="N80" s="57"/>
    </row>
    <row r="81" spans="1:63" ht="12.75">
      <c r="A81" s="4" t="s">
        <v>45</v>
      </c>
      <c r="B81" s="12" t="s">
        <v>273</v>
      </c>
      <c r="C81" s="53" t="s">
        <v>308</v>
      </c>
      <c r="D81" s="230" t="s">
        <v>590</v>
      </c>
      <c r="E81" s="231"/>
      <c r="F81" s="62" t="s">
        <v>846</v>
      </c>
      <c r="G81" s="104">
        <v>205.45</v>
      </c>
      <c r="H81" s="104"/>
      <c r="I81" s="16">
        <f>G81*AN81</f>
        <v>0</v>
      </c>
      <c r="J81" s="16">
        <f>G81*AO81</f>
        <v>0</v>
      </c>
      <c r="K81" s="126">
        <f>G81*H81</f>
        <v>0</v>
      </c>
      <c r="L81" s="16">
        <v>3E-05</v>
      </c>
      <c r="M81" s="16">
        <f>G81*L81</f>
        <v>0.0061635</v>
      </c>
      <c r="N81" s="5"/>
      <c r="Y81" s="26">
        <f>IF(AP81="5",BI81,0)</f>
        <v>0</v>
      </c>
      <c r="AA81" s="26">
        <f>IF(AP81="1",BG81,0)</f>
        <v>0</v>
      </c>
      <c r="AB81" s="26">
        <f>IF(AP81="1",BH81,0)</f>
        <v>0</v>
      </c>
      <c r="AC81" s="26">
        <f>IF(AP81="7",BG81,0)</f>
        <v>0</v>
      </c>
      <c r="AD81" s="26">
        <f>IF(AP81="7",BH81,0)</f>
        <v>0</v>
      </c>
      <c r="AE81" s="26">
        <f>IF(AP81="2",BG81,0)</f>
        <v>0</v>
      </c>
      <c r="AF81" s="26">
        <f>IF(AP81="2",BH81,0)</f>
        <v>0</v>
      </c>
      <c r="AG81" s="26">
        <f>IF(AP81="0",BI81,0)</f>
        <v>0</v>
      </c>
      <c r="AH81" s="24" t="s">
        <v>273</v>
      </c>
      <c r="AI81" s="16">
        <f>IF(AM81=0,K81,0)</f>
        <v>0</v>
      </c>
      <c r="AJ81" s="16">
        <f>IF(AM81=15,K81,0)</f>
        <v>0</v>
      </c>
      <c r="AK81" s="16">
        <f>IF(AM81=21,K81,0)</f>
        <v>0</v>
      </c>
      <c r="AM81" s="26">
        <v>15</v>
      </c>
      <c r="AN81" s="26">
        <f>H81*0.121327571948661</f>
        <v>0</v>
      </c>
      <c r="AO81" s="26">
        <f>H81*(1-0.121327571948661)</f>
        <v>0</v>
      </c>
      <c r="AP81" s="27" t="s">
        <v>7</v>
      </c>
      <c r="AU81" s="26">
        <f>AV81+AW81</f>
        <v>0</v>
      </c>
      <c r="AV81" s="26">
        <f>G81*AN81</f>
        <v>0</v>
      </c>
      <c r="AW81" s="26">
        <f>G81*AO81</f>
        <v>0</v>
      </c>
      <c r="AX81" s="29" t="s">
        <v>887</v>
      </c>
      <c r="AY81" s="29" t="s">
        <v>924</v>
      </c>
      <c r="AZ81" s="24" t="s">
        <v>937</v>
      </c>
      <c r="BB81" s="26">
        <f>AV81+AW81</f>
        <v>0</v>
      </c>
      <c r="BC81" s="26">
        <f>H81/(100-BD81)*100</f>
        <v>0</v>
      </c>
      <c r="BD81" s="26">
        <v>0</v>
      </c>
      <c r="BE81" s="26">
        <f>M81</f>
        <v>0.0061635</v>
      </c>
      <c r="BG81" s="16">
        <f>G81*AN81</f>
        <v>0</v>
      </c>
      <c r="BH81" s="16">
        <f>G81*AO81</f>
        <v>0</v>
      </c>
      <c r="BI81" s="16">
        <f>G81*H81</f>
        <v>0</v>
      </c>
      <c r="BJ81" s="16" t="s">
        <v>945</v>
      </c>
      <c r="BK81" s="26">
        <v>62</v>
      </c>
    </row>
    <row r="82" spans="1:63" ht="12.75">
      <c r="A82" s="4"/>
      <c r="B82" s="12"/>
      <c r="C82" s="59" t="s">
        <v>991</v>
      </c>
      <c r="D82" s="232" t="s">
        <v>1020</v>
      </c>
      <c r="E82" s="233"/>
      <c r="F82" s="233"/>
      <c r="G82" s="233"/>
      <c r="H82" s="233"/>
      <c r="I82" s="233"/>
      <c r="J82" s="233"/>
      <c r="K82" s="233"/>
      <c r="L82" s="233"/>
      <c r="M82" s="233"/>
      <c r="N82" s="5"/>
      <c r="Y82" s="26"/>
      <c r="AA82" s="26"/>
      <c r="AB82" s="26"/>
      <c r="AC82" s="26"/>
      <c r="AD82" s="26"/>
      <c r="AE82" s="26"/>
      <c r="AF82" s="26"/>
      <c r="AG82" s="26"/>
      <c r="AH82" s="24"/>
      <c r="AI82" s="16"/>
      <c r="AJ82" s="16"/>
      <c r="AK82" s="16"/>
      <c r="AM82" s="26"/>
      <c r="AN82" s="26"/>
      <c r="AO82" s="26"/>
      <c r="AP82" s="27"/>
      <c r="AU82" s="26"/>
      <c r="AV82" s="26"/>
      <c r="AW82" s="26"/>
      <c r="AX82" s="29"/>
      <c r="AY82" s="29"/>
      <c r="AZ82" s="24"/>
      <c r="BB82" s="26"/>
      <c r="BC82" s="26"/>
      <c r="BD82" s="26"/>
      <c r="BE82" s="26"/>
      <c r="BG82" s="16"/>
      <c r="BH82" s="16"/>
      <c r="BI82" s="16"/>
      <c r="BJ82" s="16"/>
      <c r="BK82" s="26"/>
    </row>
    <row r="83" spans="1:63" ht="12.75">
      <c r="A83" s="4" t="s">
        <v>46</v>
      </c>
      <c r="B83" s="12" t="s">
        <v>273</v>
      </c>
      <c r="C83" s="53" t="s">
        <v>309</v>
      </c>
      <c r="D83" s="230" t="s">
        <v>591</v>
      </c>
      <c r="E83" s="231"/>
      <c r="F83" s="62" t="s">
        <v>846</v>
      </c>
      <c r="G83" s="104">
        <v>205.45</v>
      </c>
      <c r="H83" s="104"/>
      <c r="I83" s="16">
        <f>G83*AN83</f>
        <v>0</v>
      </c>
      <c r="J83" s="16">
        <f>G83*AO83</f>
        <v>0</v>
      </c>
      <c r="K83" s="126">
        <f>G83*H83</f>
        <v>0</v>
      </c>
      <c r="L83" s="16">
        <v>2E-05</v>
      </c>
      <c r="M83" s="16">
        <f>G83*L83</f>
        <v>0.004109</v>
      </c>
      <c r="N83" s="5"/>
      <c r="Y83" s="26">
        <f>IF(AP83="5",BI83,0)</f>
        <v>0</v>
      </c>
      <c r="AA83" s="26">
        <f>IF(AP83="1",BG83,0)</f>
        <v>0</v>
      </c>
      <c r="AB83" s="26">
        <f>IF(AP83="1",BH83,0)</f>
        <v>0</v>
      </c>
      <c r="AC83" s="26">
        <f>IF(AP83="7",BG83,0)</f>
        <v>0</v>
      </c>
      <c r="AD83" s="26">
        <f>IF(AP83="7",BH83,0)</f>
        <v>0</v>
      </c>
      <c r="AE83" s="26">
        <f>IF(AP83="2",BG83,0)</f>
        <v>0</v>
      </c>
      <c r="AF83" s="26">
        <f>IF(AP83="2",BH83,0)</f>
        <v>0</v>
      </c>
      <c r="AG83" s="26">
        <f>IF(AP83="0",BI83,0)</f>
        <v>0</v>
      </c>
      <c r="AH83" s="24" t="s">
        <v>273</v>
      </c>
      <c r="AI83" s="16">
        <f>IF(AM83=0,K83,0)</f>
        <v>0</v>
      </c>
      <c r="AJ83" s="16">
        <f>IF(AM83=15,K83,0)</f>
        <v>0</v>
      </c>
      <c r="AK83" s="16">
        <f>IF(AM83=21,K83,0)</f>
        <v>0</v>
      </c>
      <c r="AM83" s="26">
        <v>15</v>
      </c>
      <c r="AN83" s="26">
        <f>H83*0</f>
        <v>0</v>
      </c>
      <c r="AO83" s="26">
        <f>H83*(1-0)</f>
        <v>0</v>
      </c>
      <c r="AP83" s="27" t="s">
        <v>7</v>
      </c>
      <c r="AU83" s="26">
        <f>AV83+AW83</f>
        <v>0</v>
      </c>
      <c r="AV83" s="26">
        <f>G83*AN83</f>
        <v>0</v>
      </c>
      <c r="AW83" s="26">
        <f>G83*AO83</f>
        <v>0</v>
      </c>
      <c r="AX83" s="29" t="s">
        <v>887</v>
      </c>
      <c r="AY83" s="29" t="s">
        <v>924</v>
      </c>
      <c r="AZ83" s="24" t="s">
        <v>937</v>
      </c>
      <c r="BB83" s="26">
        <f>AV83+AW83</f>
        <v>0</v>
      </c>
      <c r="BC83" s="26">
        <f>H83/(100-BD83)*100</f>
        <v>0</v>
      </c>
      <c r="BD83" s="26">
        <v>0</v>
      </c>
      <c r="BE83" s="26">
        <f>M83</f>
        <v>0.004109</v>
      </c>
      <c r="BG83" s="16">
        <f>G83*AN83</f>
        <v>0</v>
      </c>
      <c r="BH83" s="16">
        <f>G83*AO83</f>
        <v>0</v>
      </c>
      <c r="BI83" s="16">
        <f>G83*H83</f>
        <v>0</v>
      </c>
      <c r="BJ83" s="16" t="s">
        <v>945</v>
      </c>
      <c r="BK83" s="26">
        <v>62</v>
      </c>
    </row>
    <row r="84" spans="1:14" s="58" customFormat="1" ht="12.75">
      <c r="A84" s="57"/>
      <c r="C84" s="59" t="s">
        <v>991</v>
      </c>
      <c r="D84" s="232" t="s">
        <v>1022</v>
      </c>
      <c r="E84" s="233"/>
      <c r="F84" s="233"/>
      <c r="G84" s="233"/>
      <c r="H84" s="233"/>
      <c r="I84" s="233"/>
      <c r="J84" s="233"/>
      <c r="K84" s="233"/>
      <c r="L84" s="233"/>
      <c r="M84" s="233"/>
      <c r="N84" s="57"/>
    </row>
    <row r="85" spans="1:63" ht="12.75">
      <c r="A85" s="4" t="s">
        <v>47</v>
      </c>
      <c r="B85" s="12" t="s">
        <v>273</v>
      </c>
      <c r="C85" s="53" t="s">
        <v>310</v>
      </c>
      <c r="D85" s="230" t="s">
        <v>592</v>
      </c>
      <c r="E85" s="231"/>
      <c r="F85" s="62" t="s">
        <v>847</v>
      </c>
      <c r="G85" s="104">
        <v>90.1782</v>
      </c>
      <c r="H85" s="104"/>
      <c r="I85" s="16">
        <f>G85*AN85</f>
        <v>0</v>
      </c>
      <c r="J85" s="16">
        <f>G85*AO85</f>
        <v>0</v>
      </c>
      <c r="K85" s="126">
        <f>G85*H85</f>
        <v>0</v>
      </c>
      <c r="L85" s="16">
        <v>0.00071</v>
      </c>
      <c r="M85" s="16">
        <f>G85*L85</f>
        <v>0.064026522</v>
      </c>
      <c r="N85" s="5"/>
      <c r="Y85" s="26">
        <f>IF(AP85="5",BI85,0)</f>
        <v>0</v>
      </c>
      <c r="AA85" s="26">
        <f>IF(AP85="1",BG85,0)</f>
        <v>0</v>
      </c>
      <c r="AB85" s="26">
        <f>IF(AP85="1",BH85,0)</f>
        <v>0</v>
      </c>
      <c r="AC85" s="26">
        <f>IF(AP85="7",BG85,0)</f>
        <v>0</v>
      </c>
      <c r="AD85" s="26">
        <f>IF(AP85="7",BH85,0)</f>
        <v>0</v>
      </c>
      <c r="AE85" s="26">
        <f>IF(AP85="2",BG85,0)</f>
        <v>0</v>
      </c>
      <c r="AF85" s="26">
        <f>IF(AP85="2",BH85,0)</f>
        <v>0</v>
      </c>
      <c r="AG85" s="26">
        <f>IF(AP85="0",BI85,0)</f>
        <v>0</v>
      </c>
      <c r="AH85" s="24" t="s">
        <v>273</v>
      </c>
      <c r="AI85" s="16">
        <f>IF(AM85=0,K85,0)</f>
        <v>0</v>
      </c>
      <c r="AJ85" s="16">
        <f>IF(AM85=15,K85,0)</f>
        <v>0</v>
      </c>
      <c r="AK85" s="16">
        <f>IF(AM85=21,K85,0)</f>
        <v>0</v>
      </c>
      <c r="AM85" s="26">
        <v>15</v>
      </c>
      <c r="AN85" s="26">
        <f>H85*0.445032698144646</f>
        <v>0</v>
      </c>
      <c r="AO85" s="26">
        <f>H85*(1-0.445032698144646)</f>
        <v>0</v>
      </c>
      <c r="AP85" s="27" t="s">
        <v>7</v>
      </c>
      <c r="AU85" s="26">
        <f>AV85+AW85</f>
        <v>0</v>
      </c>
      <c r="AV85" s="26">
        <f>G85*AN85</f>
        <v>0</v>
      </c>
      <c r="AW85" s="26">
        <f>G85*AO85</f>
        <v>0</v>
      </c>
      <c r="AX85" s="29" t="s">
        <v>887</v>
      </c>
      <c r="AY85" s="29" t="s">
        <v>924</v>
      </c>
      <c r="AZ85" s="24" t="s">
        <v>937</v>
      </c>
      <c r="BB85" s="26">
        <f>AV85+AW85</f>
        <v>0</v>
      </c>
      <c r="BC85" s="26">
        <f>H85/(100-BD85)*100</f>
        <v>0</v>
      </c>
      <c r="BD85" s="26">
        <v>0</v>
      </c>
      <c r="BE85" s="26">
        <f>M85</f>
        <v>0.064026522</v>
      </c>
      <c r="BG85" s="16">
        <f>G85*AN85</f>
        <v>0</v>
      </c>
      <c r="BH85" s="16">
        <f>G85*AO85</f>
        <v>0</v>
      </c>
      <c r="BI85" s="16">
        <f>G85*H85</f>
        <v>0</v>
      </c>
      <c r="BJ85" s="16" t="s">
        <v>945</v>
      </c>
      <c r="BK85" s="26">
        <v>62</v>
      </c>
    </row>
    <row r="86" spans="1:14" s="58" customFormat="1" ht="12.75">
      <c r="A86" s="57"/>
      <c r="C86" s="59" t="s">
        <v>991</v>
      </c>
      <c r="D86" s="232" t="s">
        <v>1114</v>
      </c>
      <c r="E86" s="233"/>
      <c r="F86" s="233"/>
      <c r="G86" s="233"/>
      <c r="H86" s="233"/>
      <c r="I86" s="233"/>
      <c r="J86" s="233"/>
      <c r="K86" s="233"/>
      <c r="L86" s="233"/>
      <c r="M86" s="233"/>
      <c r="N86" s="57"/>
    </row>
    <row r="87" spans="1:63" ht="12.75">
      <c r="A87" s="4" t="s">
        <v>48</v>
      </c>
      <c r="B87" s="12" t="s">
        <v>273</v>
      </c>
      <c r="C87" s="53" t="s">
        <v>311</v>
      </c>
      <c r="D87" s="230" t="s">
        <v>593</v>
      </c>
      <c r="E87" s="231"/>
      <c r="F87" s="62" t="s">
        <v>849</v>
      </c>
      <c r="G87" s="104">
        <v>6</v>
      </c>
      <c r="H87" s="104"/>
      <c r="I87" s="16">
        <f>G87*AN87</f>
        <v>0</v>
      </c>
      <c r="J87" s="16">
        <f>G87*AO87</f>
        <v>0</v>
      </c>
      <c r="K87" s="126">
        <f>G87*H87</f>
        <v>0</v>
      </c>
      <c r="L87" s="16">
        <v>0.06799</v>
      </c>
      <c r="M87" s="16">
        <f>G87*L87</f>
        <v>0.40793999999999997</v>
      </c>
      <c r="N87" s="5"/>
      <c r="Y87" s="26">
        <f>IF(AP87="5",BI87,0)</f>
        <v>0</v>
      </c>
      <c r="AA87" s="26">
        <f>IF(AP87="1",BG87,0)</f>
        <v>0</v>
      </c>
      <c r="AB87" s="26">
        <f>IF(AP87="1",BH87,0)</f>
        <v>0</v>
      </c>
      <c r="AC87" s="26">
        <f>IF(AP87="7",BG87,0)</f>
        <v>0</v>
      </c>
      <c r="AD87" s="26">
        <f>IF(AP87="7",BH87,0)</f>
        <v>0</v>
      </c>
      <c r="AE87" s="26">
        <f>IF(AP87="2",BG87,0)</f>
        <v>0</v>
      </c>
      <c r="AF87" s="26">
        <f>IF(AP87="2",BH87,0)</f>
        <v>0</v>
      </c>
      <c r="AG87" s="26">
        <f>IF(AP87="0",BI87,0)</f>
        <v>0</v>
      </c>
      <c r="AH87" s="24" t="s">
        <v>273</v>
      </c>
      <c r="AI87" s="16">
        <f>IF(AM87=0,K87,0)</f>
        <v>0</v>
      </c>
      <c r="AJ87" s="16">
        <f>IF(AM87=15,K87,0)</f>
        <v>0</v>
      </c>
      <c r="AK87" s="16">
        <f>IF(AM87=21,K87,0)</f>
        <v>0</v>
      </c>
      <c r="AM87" s="26">
        <v>15</v>
      </c>
      <c r="AN87" s="26">
        <f>H87*0.913693663543061</f>
        <v>0</v>
      </c>
      <c r="AO87" s="26">
        <f>H87*(1-0.913693663543061)</f>
        <v>0</v>
      </c>
      <c r="AP87" s="27" t="s">
        <v>7</v>
      </c>
      <c r="AU87" s="26">
        <f>AV87+AW87</f>
        <v>0</v>
      </c>
      <c r="AV87" s="26">
        <f>G87*AN87</f>
        <v>0</v>
      </c>
      <c r="AW87" s="26">
        <f>G87*AO87</f>
        <v>0</v>
      </c>
      <c r="AX87" s="29" t="s">
        <v>887</v>
      </c>
      <c r="AY87" s="29" t="s">
        <v>924</v>
      </c>
      <c r="AZ87" s="24" t="s">
        <v>937</v>
      </c>
      <c r="BB87" s="26">
        <f>AV87+AW87</f>
        <v>0</v>
      </c>
      <c r="BC87" s="26">
        <f>H87/(100-BD87)*100</f>
        <v>0</v>
      </c>
      <c r="BD87" s="26">
        <v>0</v>
      </c>
      <c r="BE87" s="26">
        <f>M87</f>
        <v>0.40793999999999997</v>
      </c>
      <c r="BG87" s="16">
        <f>G87*AN87</f>
        <v>0</v>
      </c>
      <c r="BH87" s="16">
        <f>G87*AO87</f>
        <v>0</v>
      </c>
      <c r="BI87" s="16">
        <f>G87*H87</f>
        <v>0</v>
      </c>
      <c r="BJ87" s="16" t="s">
        <v>945</v>
      </c>
      <c r="BK87" s="26">
        <v>62</v>
      </c>
    </row>
    <row r="88" spans="1:14" s="58" customFormat="1" ht="12.75">
      <c r="A88" s="57"/>
      <c r="C88" s="59" t="s">
        <v>991</v>
      </c>
      <c r="D88" s="232" t="s">
        <v>1023</v>
      </c>
      <c r="E88" s="233"/>
      <c r="F88" s="233"/>
      <c r="G88" s="233"/>
      <c r="H88" s="233"/>
      <c r="I88" s="233"/>
      <c r="J88" s="233"/>
      <c r="K88" s="233"/>
      <c r="L88" s="233"/>
      <c r="M88" s="233"/>
      <c r="N88" s="57"/>
    </row>
    <row r="89" spans="1:63" ht="12.75">
      <c r="A89" s="4" t="s">
        <v>49</v>
      </c>
      <c r="B89" s="12" t="s">
        <v>273</v>
      </c>
      <c r="C89" s="53" t="s">
        <v>312</v>
      </c>
      <c r="D89" s="230" t="s">
        <v>594</v>
      </c>
      <c r="E89" s="231"/>
      <c r="F89" s="62" t="s">
        <v>847</v>
      </c>
      <c r="G89" s="104">
        <v>6.4192</v>
      </c>
      <c r="H89" s="104"/>
      <c r="I89" s="16">
        <f>G89*AN89</f>
        <v>0</v>
      </c>
      <c r="J89" s="16">
        <f>G89*AO89</f>
        <v>0</v>
      </c>
      <c r="K89" s="126">
        <f>G89*H89</f>
        <v>0</v>
      </c>
      <c r="L89" s="16">
        <v>0.00021</v>
      </c>
      <c r="M89" s="16">
        <f>G89*L89</f>
        <v>0.001348032</v>
      </c>
      <c r="N89" s="5"/>
      <c r="Y89" s="26">
        <f>IF(AP89="5",BI89,0)</f>
        <v>0</v>
      </c>
      <c r="AA89" s="26">
        <f>IF(AP89="1",BG89,0)</f>
        <v>0</v>
      </c>
      <c r="AB89" s="26">
        <f>IF(AP89="1",BH89,0)</f>
        <v>0</v>
      </c>
      <c r="AC89" s="26">
        <f>IF(AP89="7",BG89,0)</f>
        <v>0</v>
      </c>
      <c r="AD89" s="26">
        <f>IF(AP89="7",BH89,0)</f>
        <v>0</v>
      </c>
      <c r="AE89" s="26">
        <f>IF(AP89="2",BG89,0)</f>
        <v>0</v>
      </c>
      <c r="AF89" s="26">
        <f>IF(AP89="2",BH89,0)</f>
        <v>0</v>
      </c>
      <c r="AG89" s="26">
        <f>IF(AP89="0",BI89,0)</f>
        <v>0</v>
      </c>
      <c r="AH89" s="24" t="s">
        <v>273</v>
      </c>
      <c r="AI89" s="16">
        <f>IF(AM89=0,K89,0)</f>
        <v>0</v>
      </c>
      <c r="AJ89" s="16">
        <f>IF(AM89=15,K89,0)</f>
        <v>0</v>
      </c>
      <c r="AK89" s="16">
        <f>IF(AM89=21,K89,0)</f>
        <v>0</v>
      </c>
      <c r="AM89" s="26">
        <v>15</v>
      </c>
      <c r="AN89" s="26">
        <f>H89*0.178203998970222</f>
        <v>0</v>
      </c>
      <c r="AO89" s="26">
        <f>H89*(1-0.178203998970222)</f>
        <v>0</v>
      </c>
      <c r="AP89" s="27" t="s">
        <v>7</v>
      </c>
      <c r="AU89" s="26">
        <f>AV89+AW89</f>
        <v>0</v>
      </c>
      <c r="AV89" s="26">
        <f>G89*AN89</f>
        <v>0</v>
      </c>
      <c r="AW89" s="26">
        <f>G89*AO89</f>
        <v>0</v>
      </c>
      <c r="AX89" s="29" t="s">
        <v>887</v>
      </c>
      <c r="AY89" s="29" t="s">
        <v>924</v>
      </c>
      <c r="AZ89" s="24" t="s">
        <v>937</v>
      </c>
      <c r="BB89" s="26">
        <f>AV89+AW89</f>
        <v>0</v>
      </c>
      <c r="BC89" s="26">
        <f>H89/(100-BD89)*100</f>
        <v>0</v>
      </c>
      <c r="BD89" s="26">
        <v>0</v>
      </c>
      <c r="BE89" s="26">
        <f>M89</f>
        <v>0.001348032</v>
      </c>
      <c r="BG89" s="16">
        <f>G89*AN89</f>
        <v>0</v>
      </c>
      <c r="BH89" s="16">
        <f>G89*AO89</f>
        <v>0</v>
      </c>
      <c r="BI89" s="16">
        <f>G89*H89</f>
        <v>0</v>
      </c>
      <c r="BJ89" s="16" t="s">
        <v>945</v>
      </c>
      <c r="BK89" s="26">
        <v>62</v>
      </c>
    </row>
    <row r="90" spans="1:63" ht="12.75">
      <c r="A90" s="4"/>
      <c r="B90" s="12"/>
      <c r="C90" s="59" t="s">
        <v>991</v>
      </c>
      <c r="D90" s="232" t="s">
        <v>1026</v>
      </c>
      <c r="E90" s="233"/>
      <c r="F90" s="233"/>
      <c r="G90" s="233"/>
      <c r="H90" s="233"/>
      <c r="I90" s="233"/>
      <c r="J90" s="233"/>
      <c r="K90" s="233"/>
      <c r="L90" s="233"/>
      <c r="M90" s="233"/>
      <c r="N90" s="5"/>
      <c r="Y90" s="26"/>
      <c r="AA90" s="26"/>
      <c r="AB90" s="26"/>
      <c r="AC90" s="26"/>
      <c r="AD90" s="26"/>
      <c r="AE90" s="26"/>
      <c r="AF90" s="26"/>
      <c r="AG90" s="26"/>
      <c r="AH90" s="24"/>
      <c r="AI90" s="16"/>
      <c r="AJ90" s="16"/>
      <c r="AK90" s="16"/>
      <c r="AM90" s="26"/>
      <c r="AN90" s="26"/>
      <c r="AO90" s="26"/>
      <c r="AP90" s="27"/>
      <c r="AU90" s="26"/>
      <c r="AV90" s="26"/>
      <c r="AW90" s="26"/>
      <c r="AX90" s="29"/>
      <c r="AY90" s="29"/>
      <c r="AZ90" s="24"/>
      <c r="BB90" s="26"/>
      <c r="BC90" s="26"/>
      <c r="BD90" s="26"/>
      <c r="BE90" s="26"/>
      <c r="BG90" s="16"/>
      <c r="BH90" s="16"/>
      <c r="BI90" s="16"/>
      <c r="BJ90" s="16"/>
      <c r="BK90" s="26"/>
    </row>
    <row r="91" spans="1:63" ht="12.75">
      <c r="A91" s="4" t="s">
        <v>50</v>
      </c>
      <c r="B91" s="12" t="s">
        <v>273</v>
      </c>
      <c r="C91" s="53" t="s">
        <v>313</v>
      </c>
      <c r="D91" s="230" t="s">
        <v>1024</v>
      </c>
      <c r="E91" s="231"/>
      <c r="F91" s="62" t="s">
        <v>846</v>
      </c>
      <c r="G91" s="104">
        <v>32.62</v>
      </c>
      <c r="H91" s="104"/>
      <c r="I91" s="16">
        <f>G91*AN91</f>
        <v>0</v>
      </c>
      <c r="J91" s="16">
        <f>G91*AO91</f>
        <v>0</v>
      </c>
      <c r="K91" s="126">
        <f>G91*H91</f>
        <v>0</v>
      </c>
      <c r="L91" s="16">
        <v>0</v>
      </c>
      <c r="M91" s="16">
        <f>G91*L91</f>
        <v>0</v>
      </c>
      <c r="N91" s="5"/>
      <c r="Y91" s="26">
        <f>IF(AP91="5",BI91,0)</f>
        <v>0</v>
      </c>
      <c r="AA91" s="26">
        <f>IF(AP91="1",BG91,0)</f>
        <v>0</v>
      </c>
      <c r="AB91" s="26">
        <f>IF(AP91="1",BH91,0)</f>
        <v>0</v>
      </c>
      <c r="AC91" s="26">
        <f>IF(AP91="7",BG91,0)</f>
        <v>0</v>
      </c>
      <c r="AD91" s="26">
        <f>IF(AP91="7",BH91,0)</f>
        <v>0</v>
      </c>
      <c r="AE91" s="26">
        <f>IF(AP91="2",BG91,0)</f>
        <v>0</v>
      </c>
      <c r="AF91" s="26">
        <f>IF(AP91="2",BH91,0)</f>
        <v>0</v>
      </c>
      <c r="AG91" s="26">
        <f>IF(AP91="0",BI91,0)</f>
        <v>0</v>
      </c>
      <c r="AH91" s="24" t="s">
        <v>273</v>
      </c>
      <c r="AI91" s="16">
        <f>IF(AM91=0,K91,0)</f>
        <v>0</v>
      </c>
      <c r="AJ91" s="16">
        <f>IF(AM91=15,K91,0)</f>
        <v>0</v>
      </c>
      <c r="AK91" s="16">
        <f>IF(AM91=21,K91,0)</f>
        <v>0</v>
      </c>
      <c r="AM91" s="26">
        <v>15</v>
      </c>
      <c r="AN91" s="26">
        <f>H91*0</f>
        <v>0</v>
      </c>
      <c r="AO91" s="26">
        <f>H91*(1-0)</f>
        <v>0</v>
      </c>
      <c r="AP91" s="27" t="s">
        <v>7</v>
      </c>
      <c r="AU91" s="26">
        <f>AV91+AW91</f>
        <v>0</v>
      </c>
      <c r="AV91" s="26">
        <f>G91*AN91</f>
        <v>0</v>
      </c>
      <c r="AW91" s="26">
        <f>G91*AO91</f>
        <v>0</v>
      </c>
      <c r="AX91" s="29" t="s">
        <v>887</v>
      </c>
      <c r="AY91" s="29" t="s">
        <v>924</v>
      </c>
      <c r="AZ91" s="24" t="s">
        <v>937</v>
      </c>
      <c r="BB91" s="26">
        <f>AV91+AW91</f>
        <v>0</v>
      </c>
      <c r="BC91" s="26">
        <f>H91/(100-BD91)*100</f>
        <v>0</v>
      </c>
      <c r="BD91" s="26">
        <v>0</v>
      </c>
      <c r="BE91" s="26">
        <f>M91</f>
        <v>0</v>
      </c>
      <c r="BG91" s="16">
        <f>G91*AN91</f>
        <v>0</v>
      </c>
      <c r="BH91" s="16">
        <f>G91*AO91</f>
        <v>0</v>
      </c>
      <c r="BI91" s="16">
        <f>G91*H91</f>
        <v>0</v>
      </c>
      <c r="BJ91" s="16" t="s">
        <v>945</v>
      </c>
      <c r="BK91" s="26">
        <v>62</v>
      </c>
    </row>
    <row r="92" spans="1:63" ht="12.75">
      <c r="A92" s="4"/>
      <c r="B92" s="12"/>
      <c r="C92" s="59" t="s">
        <v>991</v>
      </c>
      <c r="D92" s="232" t="s">
        <v>1025</v>
      </c>
      <c r="E92" s="233"/>
      <c r="F92" s="233"/>
      <c r="G92" s="233"/>
      <c r="H92" s="233"/>
      <c r="I92" s="233"/>
      <c r="J92" s="233"/>
      <c r="K92" s="233"/>
      <c r="L92" s="233"/>
      <c r="M92" s="233"/>
      <c r="N92" s="5"/>
      <c r="Y92" s="26"/>
      <c r="AA92" s="26"/>
      <c r="AB92" s="26"/>
      <c r="AC92" s="26"/>
      <c r="AD92" s="26"/>
      <c r="AE92" s="26"/>
      <c r="AF92" s="26"/>
      <c r="AG92" s="26"/>
      <c r="AH92" s="24"/>
      <c r="AI92" s="16"/>
      <c r="AJ92" s="16"/>
      <c r="AK92" s="16"/>
      <c r="AM92" s="26"/>
      <c r="AN92" s="26"/>
      <c r="AO92" s="26"/>
      <c r="AP92" s="27"/>
      <c r="AU92" s="26"/>
      <c r="AV92" s="26"/>
      <c r="AW92" s="26"/>
      <c r="AX92" s="29"/>
      <c r="AY92" s="29"/>
      <c r="AZ92" s="24"/>
      <c r="BB92" s="26"/>
      <c r="BC92" s="26"/>
      <c r="BD92" s="26"/>
      <c r="BE92" s="26"/>
      <c r="BG92" s="16"/>
      <c r="BH92" s="16"/>
      <c r="BI92" s="16"/>
      <c r="BJ92" s="16"/>
      <c r="BK92" s="26"/>
    </row>
    <row r="93" spans="1:46" ht="12.75">
      <c r="A93" s="3"/>
      <c r="B93" s="11" t="s">
        <v>273</v>
      </c>
      <c r="C93" s="52" t="s">
        <v>69</v>
      </c>
      <c r="D93" s="228" t="s">
        <v>595</v>
      </c>
      <c r="E93" s="229"/>
      <c r="F93" s="61" t="s">
        <v>6</v>
      </c>
      <c r="G93" s="61" t="s">
        <v>6</v>
      </c>
      <c r="H93" s="61" t="s">
        <v>6</v>
      </c>
      <c r="I93" s="31">
        <f>SUM(I94:I105)</f>
        <v>0</v>
      </c>
      <c r="J93" s="31">
        <f>SUM(J94:J105)</f>
        <v>0</v>
      </c>
      <c r="K93" s="128">
        <f>SUM(K94:K105)</f>
        <v>0</v>
      </c>
      <c r="L93" s="24"/>
      <c r="M93" s="31">
        <f>SUM(M94:M105)</f>
        <v>13.8349804</v>
      </c>
      <c r="N93" s="5"/>
      <c r="AH93" s="24" t="s">
        <v>273</v>
      </c>
      <c r="AR93" s="31">
        <f>SUM(AI94:AI105)</f>
        <v>0</v>
      </c>
      <c r="AS93" s="31">
        <f>SUM(AJ94:AJ105)</f>
        <v>0</v>
      </c>
      <c r="AT93" s="31">
        <f>SUM(AK94:AK105)</f>
        <v>0</v>
      </c>
    </row>
    <row r="94" spans="1:63" ht="12.75">
      <c r="A94" s="4" t="s">
        <v>51</v>
      </c>
      <c r="B94" s="12" t="s">
        <v>273</v>
      </c>
      <c r="C94" s="53" t="s">
        <v>314</v>
      </c>
      <c r="D94" s="230" t="s">
        <v>1027</v>
      </c>
      <c r="E94" s="231"/>
      <c r="F94" s="62" t="s">
        <v>847</v>
      </c>
      <c r="G94" s="104">
        <v>2459.921</v>
      </c>
      <c r="H94" s="104"/>
      <c r="I94" s="16">
        <f>G94*AN94</f>
        <v>0</v>
      </c>
      <c r="J94" s="16">
        <f>G94*AO94</f>
        <v>0</v>
      </c>
      <c r="K94" s="126">
        <f>G94*H94</f>
        <v>0</v>
      </c>
      <c r="L94" s="16">
        <v>0</v>
      </c>
      <c r="M94" s="16">
        <f>G94*L94</f>
        <v>0</v>
      </c>
      <c r="N94" s="5"/>
      <c r="Y94" s="26">
        <f>IF(AP94="5",BI94,0)</f>
        <v>0</v>
      </c>
      <c r="AA94" s="26">
        <f>IF(AP94="1",BG94,0)</f>
        <v>0</v>
      </c>
      <c r="AB94" s="26">
        <f>IF(AP94="1",BH94,0)</f>
        <v>0</v>
      </c>
      <c r="AC94" s="26">
        <f>IF(AP94="7",BG94,0)</f>
        <v>0</v>
      </c>
      <c r="AD94" s="26">
        <f>IF(AP94="7",BH94,0)</f>
        <v>0</v>
      </c>
      <c r="AE94" s="26">
        <f>IF(AP94="2",BG94,0)</f>
        <v>0</v>
      </c>
      <c r="AF94" s="26">
        <f>IF(AP94="2",BH94,0)</f>
        <v>0</v>
      </c>
      <c r="AG94" s="26">
        <f>IF(AP94="0",BI94,0)</f>
        <v>0</v>
      </c>
      <c r="AH94" s="24" t="s">
        <v>273</v>
      </c>
      <c r="AI94" s="16">
        <f>IF(AM94=0,K94,0)</f>
        <v>0</v>
      </c>
      <c r="AJ94" s="16">
        <f>IF(AM94=15,K94,0)</f>
        <v>0</v>
      </c>
      <c r="AK94" s="16">
        <f>IF(AM94=21,K94,0)</f>
        <v>0</v>
      </c>
      <c r="AM94" s="26">
        <v>15</v>
      </c>
      <c r="AN94" s="26">
        <f>H94*0</f>
        <v>0</v>
      </c>
      <c r="AO94" s="26">
        <f>H94*(1-0)</f>
        <v>0</v>
      </c>
      <c r="AP94" s="27" t="s">
        <v>7</v>
      </c>
      <c r="AU94" s="26">
        <f>AV94+AW94</f>
        <v>0</v>
      </c>
      <c r="AV94" s="26">
        <f>G94*AN94</f>
        <v>0</v>
      </c>
      <c r="AW94" s="26">
        <f>G94*AO94</f>
        <v>0</v>
      </c>
      <c r="AX94" s="29" t="s">
        <v>888</v>
      </c>
      <c r="AY94" s="29" t="s">
        <v>924</v>
      </c>
      <c r="AZ94" s="24" t="s">
        <v>937</v>
      </c>
      <c r="BB94" s="26">
        <f>AV94+AW94</f>
        <v>0</v>
      </c>
      <c r="BC94" s="26">
        <f>H94/(100-BD94)*100</f>
        <v>0</v>
      </c>
      <c r="BD94" s="26">
        <v>0</v>
      </c>
      <c r="BE94" s="26">
        <f>M94</f>
        <v>0</v>
      </c>
      <c r="BG94" s="16">
        <f>G94*AN94</f>
        <v>0</v>
      </c>
      <c r="BH94" s="16">
        <f>G94*AO94</f>
        <v>0</v>
      </c>
      <c r="BI94" s="16">
        <f>G94*H94</f>
        <v>0</v>
      </c>
      <c r="BJ94" s="16" t="s">
        <v>945</v>
      </c>
      <c r="BK94" s="26">
        <v>63</v>
      </c>
    </row>
    <row r="95" spans="1:14" s="58" customFormat="1" ht="12.75">
      <c r="A95" s="57"/>
      <c r="C95" s="59" t="s">
        <v>991</v>
      </c>
      <c r="D95" s="232" t="s">
        <v>1115</v>
      </c>
      <c r="E95" s="233"/>
      <c r="F95" s="233"/>
      <c r="G95" s="233"/>
      <c r="H95" s="233"/>
      <c r="I95" s="233"/>
      <c r="J95" s="233"/>
      <c r="K95" s="233"/>
      <c r="L95" s="233"/>
      <c r="M95" s="233"/>
      <c r="N95" s="57"/>
    </row>
    <row r="96" spans="1:63" ht="12.75">
      <c r="A96" s="4" t="s">
        <v>52</v>
      </c>
      <c r="B96" s="12" t="s">
        <v>273</v>
      </c>
      <c r="C96" s="53" t="s">
        <v>315</v>
      </c>
      <c r="D96" s="230" t="s">
        <v>596</v>
      </c>
      <c r="E96" s="231"/>
      <c r="F96" s="62" t="s">
        <v>846</v>
      </c>
      <c r="G96" s="104">
        <v>39</v>
      </c>
      <c r="H96" s="104"/>
      <c r="I96" s="16">
        <f aca="true" t="shared" si="24" ref="I96:I103">G96*AN96</f>
        <v>0</v>
      </c>
      <c r="J96" s="16">
        <f aca="true" t="shared" si="25" ref="J96:J103">G96*AO96</f>
        <v>0</v>
      </c>
      <c r="K96" s="126">
        <f aca="true" t="shared" si="26" ref="K96:K103">G96*H96</f>
        <v>0</v>
      </c>
      <c r="L96" s="16">
        <v>0.11583</v>
      </c>
      <c r="M96" s="16">
        <f aca="true" t="shared" si="27" ref="M96:M103">G96*L96</f>
        <v>4.51737</v>
      </c>
      <c r="N96" s="5"/>
      <c r="Y96" s="26">
        <f aca="true" t="shared" si="28" ref="Y96:Y103">IF(AP96="5",BI96,0)</f>
        <v>0</v>
      </c>
      <c r="AA96" s="26">
        <f aca="true" t="shared" si="29" ref="AA96:AA103">IF(AP96="1",BG96,0)</f>
        <v>0</v>
      </c>
      <c r="AB96" s="26">
        <f aca="true" t="shared" si="30" ref="AB96:AB103">IF(AP96="1",BH96,0)</f>
        <v>0</v>
      </c>
      <c r="AC96" s="26">
        <f aca="true" t="shared" si="31" ref="AC96:AC103">IF(AP96="7",BG96,0)</f>
        <v>0</v>
      </c>
      <c r="AD96" s="26">
        <f aca="true" t="shared" si="32" ref="AD96:AD103">IF(AP96="7",BH96,0)</f>
        <v>0</v>
      </c>
      <c r="AE96" s="26">
        <f aca="true" t="shared" si="33" ref="AE96:AE103">IF(AP96="2",BG96,0)</f>
        <v>0</v>
      </c>
      <c r="AF96" s="26">
        <f aca="true" t="shared" si="34" ref="AF96:AF103">IF(AP96="2",BH96,0)</f>
        <v>0</v>
      </c>
      <c r="AG96" s="26">
        <f aca="true" t="shared" si="35" ref="AG96:AG103">IF(AP96="0",BI96,0)</f>
        <v>0</v>
      </c>
      <c r="AH96" s="24" t="s">
        <v>273</v>
      </c>
      <c r="AI96" s="16">
        <f aca="true" t="shared" si="36" ref="AI96:AI103">IF(AM96=0,K96,0)</f>
        <v>0</v>
      </c>
      <c r="AJ96" s="16">
        <f aca="true" t="shared" si="37" ref="AJ96:AJ103">IF(AM96=15,K96,0)</f>
        <v>0</v>
      </c>
      <c r="AK96" s="16">
        <f aca="true" t="shared" si="38" ref="AK96:AK103">IF(AM96=21,K96,0)</f>
        <v>0</v>
      </c>
      <c r="AM96" s="26">
        <v>15</v>
      </c>
      <c r="AN96" s="26">
        <f>H96*0.795877535827285</f>
        <v>0</v>
      </c>
      <c r="AO96" s="26">
        <f>H96*(1-0.795877535827285)</f>
        <v>0</v>
      </c>
      <c r="AP96" s="27" t="s">
        <v>7</v>
      </c>
      <c r="AU96" s="26">
        <f aca="true" t="shared" si="39" ref="AU96:AU103">AV96+AW96</f>
        <v>0</v>
      </c>
      <c r="AV96" s="26">
        <f aca="true" t="shared" si="40" ref="AV96:AV103">G96*AN96</f>
        <v>0</v>
      </c>
      <c r="AW96" s="26">
        <f aca="true" t="shared" si="41" ref="AW96:AW103">G96*AO96</f>
        <v>0</v>
      </c>
      <c r="AX96" s="29" t="s">
        <v>888</v>
      </c>
      <c r="AY96" s="29" t="s">
        <v>924</v>
      </c>
      <c r="AZ96" s="24" t="s">
        <v>937</v>
      </c>
      <c r="BB96" s="26">
        <f aca="true" t="shared" si="42" ref="BB96:BB103">AV96+AW96</f>
        <v>0</v>
      </c>
      <c r="BC96" s="26">
        <f aca="true" t="shared" si="43" ref="BC96:BC103">H96/(100-BD96)*100</f>
        <v>0</v>
      </c>
      <c r="BD96" s="26">
        <v>0</v>
      </c>
      <c r="BE96" s="26">
        <f aca="true" t="shared" si="44" ref="BE96:BE103">M96</f>
        <v>4.51737</v>
      </c>
      <c r="BG96" s="16">
        <f aca="true" t="shared" si="45" ref="BG96:BG103">G96*AN96</f>
        <v>0</v>
      </c>
      <c r="BH96" s="16">
        <f aca="true" t="shared" si="46" ref="BH96:BH103">G96*AO96</f>
        <v>0</v>
      </c>
      <c r="BI96" s="16">
        <f aca="true" t="shared" si="47" ref="BI96:BI103">G96*H96</f>
        <v>0</v>
      </c>
      <c r="BJ96" s="16" t="s">
        <v>945</v>
      </c>
      <c r="BK96" s="26">
        <v>63</v>
      </c>
    </row>
    <row r="97" spans="1:63" ht="12.75">
      <c r="A97" s="4" t="s">
        <v>53</v>
      </c>
      <c r="B97" s="12" t="s">
        <v>273</v>
      </c>
      <c r="C97" s="53" t="s">
        <v>316</v>
      </c>
      <c r="D97" s="230" t="s">
        <v>597</v>
      </c>
      <c r="E97" s="231"/>
      <c r="F97" s="62" t="s">
        <v>846</v>
      </c>
      <c r="G97" s="104">
        <v>39</v>
      </c>
      <c r="H97" s="104"/>
      <c r="I97" s="16">
        <f t="shared" si="24"/>
        <v>0</v>
      </c>
      <c r="J97" s="16">
        <f t="shared" si="25"/>
        <v>0</v>
      </c>
      <c r="K97" s="126">
        <f t="shared" si="26"/>
        <v>0</v>
      </c>
      <c r="L97" s="16">
        <v>0.09471</v>
      </c>
      <c r="M97" s="16">
        <f t="shared" si="27"/>
        <v>3.69369</v>
      </c>
      <c r="N97" s="5"/>
      <c r="Y97" s="26">
        <f t="shared" si="28"/>
        <v>0</v>
      </c>
      <c r="AA97" s="26">
        <f t="shared" si="29"/>
        <v>0</v>
      </c>
      <c r="AB97" s="26">
        <f t="shared" si="30"/>
        <v>0</v>
      </c>
      <c r="AC97" s="26">
        <f t="shared" si="31"/>
        <v>0</v>
      </c>
      <c r="AD97" s="26">
        <f t="shared" si="32"/>
        <v>0</v>
      </c>
      <c r="AE97" s="26">
        <f t="shared" si="33"/>
        <v>0</v>
      </c>
      <c r="AF97" s="26">
        <f t="shared" si="34"/>
        <v>0</v>
      </c>
      <c r="AG97" s="26">
        <f t="shared" si="35"/>
        <v>0</v>
      </c>
      <c r="AH97" s="24" t="s">
        <v>273</v>
      </c>
      <c r="AI97" s="16">
        <f t="shared" si="36"/>
        <v>0</v>
      </c>
      <c r="AJ97" s="16">
        <f t="shared" si="37"/>
        <v>0</v>
      </c>
      <c r="AK97" s="16">
        <f t="shared" si="38"/>
        <v>0</v>
      </c>
      <c r="AM97" s="26">
        <v>15</v>
      </c>
      <c r="AN97" s="26">
        <f>H97*0.671188727327237</f>
        <v>0</v>
      </c>
      <c r="AO97" s="26">
        <f>H97*(1-0.671188727327237)</f>
        <v>0</v>
      </c>
      <c r="AP97" s="27" t="s">
        <v>7</v>
      </c>
      <c r="AU97" s="26">
        <f t="shared" si="39"/>
        <v>0</v>
      </c>
      <c r="AV97" s="26">
        <f t="shared" si="40"/>
        <v>0</v>
      </c>
      <c r="AW97" s="26">
        <f t="shared" si="41"/>
        <v>0</v>
      </c>
      <c r="AX97" s="29" t="s">
        <v>888</v>
      </c>
      <c r="AY97" s="29" t="s">
        <v>924</v>
      </c>
      <c r="AZ97" s="24" t="s">
        <v>937</v>
      </c>
      <c r="BB97" s="26">
        <f t="shared" si="42"/>
        <v>0</v>
      </c>
      <c r="BC97" s="26">
        <f t="shared" si="43"/>
        <v>0</v>
      </c>
      <c r="BD97" s="26">
        <v>0</v>
      </c>
      <c r="BE97" s="26">
        <f t="shared" si="44"/>
        <v>3.69369</v>
      </c>
      <c r="BG97" s="16">
        <f t="shared" si="45"/>
        <v>0</v>
      </c>
      <c r="BH97" s="16">
        <f t="shared" si="46"/>
        <v>0</v>
      </c>
      <c r="BI97" s="16">
        <f t="shared" si="47"/>
        <v>0</v>
      </c>
      <c r="BJ97" s="16" t="s">
        <v>945</v>
      </c>
      <c r="BK97" s="26">
        <v>63</v>
      </c>
    </row>
    <row r="98" spans="1:63" ht="12.75">
      <c r="A98" s="4" t="s">
        <v>54</v>
      </c>
      <c r="B98" s="12" t="s">
        <v>273</v>
      </c>
      <c r="C98" s="53" t="s">
        <v>317</v>
      </c>
      <c r="D98" s="230" t="s">
        <v>598</v>
      </c>
      <c r="E98" s="231"/>
      <c r="F98" s="62" t="s">
        <v>847</v>
      </c>
      <c r="G98" s="104">
        <v>19.5</v>
      </c>
      <c r="H98" s="104"/>
      <c r="I98" s="16">
        <f t="shared" si="24"/>
        <v>0</v>
      </c>
      <c r="J98" s="16">
        <f t="shared" si="25"/>
        <v>0</v>
      </c>
      <c r="K98" s="126">
        <f t="shared" si="26"/>
        <v>0</v>
      </c>
      <c r="L98" s="16">
        <v>0.18</v>
      </c>
      <c r="M98" s="16">
        <f t="shared" si="27"/>
        <v>3.51</v>
      </c>
      <c r="N98" s="5"/>
      <c r="Y98" s="26">
        <f t="shared" si="28"/>
        <v>0</v>
      </c>
      <c r="AA98" s="26">
        <f t="shared" si="29"/>
        <v>0</v>
      </c>
      <c r="AB98" s="26">
        <f t="shared" si="30"/>
        <v>0</v>
      </c>
      <c r="AC98" s="26">
        <f t="shared" si="31"/>
        <v>0</v>
      </c>
      <c r="AD98" s="26">
        <f t="shared" si="32"/>
        <v>0</v>
      </c>
      <c r="AE98" s="26">
        <f t="shared" si="33"/>
        <v>0</v>
      </c>
      <c r="AF98" s="26">
        <f t="shared" si="34"/>
        <v>0</v>
      </c>
      <c r="AG98" s="26">
        <f t="shared" si="35"/>
        <v>0</v>
      </c>
      <c r="AH98" s="24" t="s">
        <v>273</v>
      </c>
      <c r="AI98" s="16">
        <f t="shared" si="36"/>
        <v>0</v>
      </c>
      <c r="AJ98" s="16">
        <f t="shared" si="37"/>
        <v>0</v>
      </c>
      <c r="AK98" s="16">
        <f t="shared" si="38"/>
        <v>0</v>
      </c>
      <c r="AM98" s="26">
        <v>15</v>
      </c>
      <c r="AN98" s="26">
        <f>H98*0.632357741035001</f>
        <v>0</v>
      </c>
      <c r="AO98" s="26">
        <f>H98*(1-0.632357741035001)</f>
        <v>0</v>
      </c>
      <c r="AP98" s="27" t="s">
        <v>7</v>
      </c>
      <c r="AU98" s="26">
        <f t="shared" si="39"/>
        <v>0</v>
      </c>
      <c r="AV98" s="26">
        <f t="shared" si="40"/>
        <v>0</v>
      </c>
      <c r="AW98" s="26">
        <f t="shared" si="41"/>
        <v>0</v>
      </c>
      <c r="AX98" s="29" t="s">
        <v>888</v>
      </c>
      <c r="AY98" s="29" t="s">
        <v>924</v>
      </c>
      <c r="AZ98" s="24" t="s">
        <v>937</v>
      </c>
      <c r="BB98" s="26">
        <f t="shared" si="42"/>
        <v>0</v>
      </c>
      <c r="BC98" s="26">
        <f t="shared" si="43"/>
        <v>0</v>
      </c>
      <c r="BD98" s="26">
        <v>0</v>
      </c>
      <c r="BE98" s="26">
        <f t="shared" si="44"/>
        <v>3.51</v>
      </c>
      <c r="BG98" s="16">
        <f t="shared" si="45"/>
        <v>0</v>
      </c>
      <c r="BH98" s="16">
        <f t="shared" si="46"/>
        <v>0</v>
      </c>
      <c r="BI98" s="16">
        <f t="shared" si="47"/>
        <v>0</v>
      </c>
      <c r="BJ98" s="16" t="s">
        <v>945</v>
      </c>
      <c r="BK98" s="26">
        <v>63</v>
      </c>
    </row>
    <row r="99" spans="1:63" s="94" customFormat="1" ht="12.75">
      <c r="A99" s="4" t="s">
        <v>64</v>
      </c>
      <c r="B99" s="12" t="s">
        <v>273</v>
      </c>
      <c r="C99" s="53" t="s">
        <v>327</v>
      </c>
      <c r="D99" s="230" t="s">
        <v>609</v>
      </c>
      <c r="E99" s="231"/>
      <c r="F99" s="62" t="s">
        <v>847</v>
      </c>
      <c r="G99" s="104">
        <v>19.5</v>
      </c>
      <c r="H99" s="104"/>
      <c r="I99" s="16">
        <f t="shared" si="24"/>
        <v>0</v>
      </c>
      <c r="J99" s="16">
        <f t="shared" si="25"/>
        <v>0</v>
      </c>
      <c r="K99" s="126">
        <f t="shared" si="26"/>
        <v>0</v>
      </c>
      <c r="L99" s="16">
        <v>0</v>
      </c>
      <c r="M99" s="16">
        <f t="shared" si="27"/>
        <v>0</v>
      </c>
      <c r="N99" s="5"/>
      <c r="Y99" s="26">
        <f t="shared" si="28"/>
        <v>0</v>
      </c>
      <c r="AA99" s="26">
        <f t="shared" si="29"/>
        <v>0</v>
      </c>
      <c r="AB99" s="26">
        <f t="shared" si="30"/>
        <v>0</v>
      </c>
      <c r="AC99" s="26">
        <f t="shared" si="31"/>
        <v>0</v>
      </c>
      <c r="AD99" s="26">
        <f t="shared" si="32"/>
        <v>0</v>
      </c>
      <c r="AE99" s="26">
        <f t="shared" si="33"/>
        <v>0</v>
      </c>
      <c r="AF99" s="26">
        <f t="shared" si="34"/>
        <v>0</v>
      </c>
      <c r="AG99" s="26">
        <f t="shared" si="35"/>
        <v>0</v>
      </c>
      <c r="AH99" s="95" t="s">
        <v>273</v>
      </c>
      <c r="AI99" s="16">
        <f t="shared" si="36"/>
        <v>0</v>
      </c>
      <c r="AJ99" s="16">
        <f t="shared" si="37"/>
        <v>0</v>
      </c>
      <c r="AK99" s="16">
        <f t="shared" si="38"/>
        <v>0</v>
      </c>
      <c r="AM99" s="26">
        <v>15</v>
      </c>
      <c r="AN99" s="26">
        <f>H99*0</f>
        <v>0</v>
      </c>
      <c r="AO99" s="26">
        <f>H99*(1-0)</f>
        <v>0</v>
      </c>
      <c r="AP99" s="27" t="s">
        <v>7</v>
      </c>
      <c r="AU99" s="26">
        <f t="shared" si="39"/>
        <v>0</v>
      </c>
      <c r="AV99" s="26">
        <f t="shared" si="40"/>
        <v>0</v>
      </c>
      <c r="AW99" s="26">
        <f t="shared" si="41"/>
        <v>0</v>
      </c>
      <c r="AX99" s="29" t="s">
        <v>889</v>
      </c>
      <c r="AY99" s="29" t="s">
        <v>924</v>
      </c>
      <c r="AZ99" s="95" t="s">
        <v>937</v>
      </c>
      <c r="BB99" s="26">
        <f t="shared" si="42"/>
        <v>0</v>
      </c>
      <c r="BC99" s="26">
        <f t="shared" si="43"/>
        <v>0</v>
      </c>
      <c r="BD99" s="26">
        <v>0</v>
      </c>
      <c r="BE99" s="26">
        <f t="shared" si="44"/>
        <v>0</v>
      </c>
      <c r="BG99" s="16">
        <f t="shared" si="45"/>
        <v>0</v>
      </c>
      <c r="BH99" s="16">
        <f t="shared" si="46"/>
        <v>0</v>
      </c>
      <c r="BI99" s="16">
        <f t="shared" si="47"/>
        <v>0</v>
      </c>
      <c r="BJ99" s="16" t="s">
        <v>945</v>
      </c>
      <c r="BK99" s="26">
        <v>64</v>
      </c>
    </row>
    <row r="100" spans="1:63" ht="12.75">
      <c r="A100" s="4" t="s">
        <v>55</v>
      </c>
      <c r="B100" s="12" t="s">
        <v>273</v>
      </c>
      <c r="C100" s="53" t="s">
        <v>318</v>
      </c>
      <c r="D100" s="230" t="s">
        <v>599</v>
      </c>
      <c r="E100" s="231"/>
      <c r="F100" s="62" t="s">
        <v>847</v>
      </c>
      <c r="G100" s="104">
        <v>23.4</v>
      </c>
      <c r="H100" s="104"/>
      <c r="I100" s="16">
        <f t="shared" si="24"/>
        <v>0</v>
      </c>
      <c r="J100" s="16">
        <f t="shared" si="25"/>
        <v>0</v>
      </c>
      <c r="K100" s="126">
        <f t="shared" si="26"/>
        <v>0</v>
      </c>
      <c r="L100" s="16">
        <v>0</v>
      </c>
      <c r="M100" s="16">
        <f t="shared" si="27"/>
        <v>0</v>
      </c>
      <c r="N100" s="5"/>
      <c r="Y100" s="26">
        <f t="shared" si="28"/>
        <v>0</v>
      </c>
      <c r="AA100" s="26">
        <f t="shared" si="29"/>
        <v>0</v>
      </c>
      <c r="AB100" s="26">
        <f t="shared" si="30"/>
        <v>0</v>
      </c>
      <c r="AC100" s="26">
        <f t="shared" si="31"/>
        <v>0</v>
      </c>
      <c r="AD100" s="26">
        <f t="shared" si="32"/>
        <v>0</v>
      </c>
      <c r="AE100" s="26">
        <f t="shared" si="33"/>
        <v>0</v>
      </c>
      <c r="AF100" s="26">
        <f t="shared" si="34"/>
        <v>0</v>
      </c>
      <c r="AG100" s="26">
        <f t="shared" si="35"/>
        <v>0</v>
      </c>
      <c r="AH100" s="24" t="s">
        <v>273</v>
      </c>
      <c r="AI100" s="16">
        <f t="shared" si="36"/>
        <v>0</v>
      </c>
      <c r="AJ100" s="16">
        <f t="shared" si="37"/>
        <v>0</v>
      </c>
      <c r="AK100" s="16">
        <f t="shared" si="38"/>
        <v>0</v>
      </c>
      <c r="AM100" s="26">
        <v>15</v>
      </c>
      <c r="AN100" s="26">
        <f>H100*0.285996849821288</f>
        <v>0</v>
      </c>
      <c r="AO100" s="26">
        <f>H100*(1-0.285996849821288)</f>
        <v>0</v>
      </c>
      <c r="AP100" s="27" t="s">
        <v>7</v>
      </c>
      <c r="AU100" s="26">
        <f t="shared" si="39"/>
        <v>0</v>
      </c>
      <c r="AV100" s="26">
        <f t="shared" si="40"/>
        <v>0</v>
      </c>
      <c r="AW100" s="26">
        <f t="shared" si="41"/>
        <v>0</v>
      </c>
      <c r="AX100" s="29" t="s">
        <v>888</v>
      </c>
      <c r="AY100" s="29" t="s">
        <v>924</v>
      </c>
      <c r="AZ100" s="24" t="s">
        <v>937</v>
      </c>
      <c r="BB100" s="26">
        <f t="shared" si="42"/>
        <v>0</v>
      </c>
      <c r="BC100" s="26">
        <f t="shared" si="43"/>
        <v>0</v>
      </c>
      <c r="BD100" s="26">
        <v>0</v>
      </c>
      <c r="BE100" s="26">
        <f t="shared" si="44"/>
        <v>0</v>
      </c>
      <c r="BG100" s="16">
        <f t="shared" si="45"/>
        <v>0</v>
      </c>
      <c r="BH100" s="16">
        <f t="shared" si="46"/>
        <v>0</v>
      </c>
      <c r="BI100" s="16">
        <f t="shared" si="47"/>
        <v>0</v>
      </c>
      <c r="BJ100" s="16" t="s">
        <v>945</v>
      </c>
      <c r="BK100" s="26">
        <v>63</v>
      </c>
    </row>
    <row r="101" spans="1:63" ht="12.75">
      <c r="A101" s="4" t="s">
        <v>56</v>
      </c>
      <c r="B101" s="12" t="s">
        <v>273</v>
      </c>
      <c r="C101" s="53" t="s">
        <v>319</v>
      </c>
      <c r="D101" s="230" t="s">
        <v>600</v>
      </c>
      <c r="E101" s="231"/>
      <c r="F101" s="62" t="s">
        <v>847</v>
      </c>
      <c r="G101" s="104">
        <v>23.4</v>
      </c>
      <c r="H101" s="104"/>
      <c r="I101" s="16">
        <f t="shared" si="24"/>
        <v>0</v>
      </c>
      <c r="J101" s="16">
        <f t="shared" si="25"/>
        <v>0</v>
      </c>
      <c r="K101" s="126">
        <f t="shared" si="26"/>
        <v>0</v>
      </c>
      <c r="L101" s="16">
        <v>0</v>
      </c>
      <c r="M101" s="16">
        <f t="shared" si="27"/>
        <v>0</v>
      </c>
      <c r="N101" s="5"/>
      <c r="Y101" s="26">
        <f t="shared" si="28"/>
        <v>0</v>
      </c>
      <c r="AA101" s="26">
        <f t="shared" si="29"/>
        <v>0</v>
      </c>
      <c r="AB101" s="26">
        <f t="shared" si="30"/>
        <v>0</v>
      </c>
      <c r="AC101" s="26">
        <f t="shared" si="31"/>
        <v>0</v>
      </c>
      <c r="AD101" s="26">
        <f t="shared" si="32"/>
        <v>0</v>
      </c>
      <c r="AE101" s="26">
        <f t="shared" si="33"/>
        <v>0</v>
      </c>
      <c r="AF101" s="26">
        <f t="shared" si="34"/>
        <v>0</v>
      </c>
      <c r="AG101" s="26">
        <f t="shared" si="35"/>
        <v>0</v>
      </c>
      <c r="AH101" s="24" t="s">
        <v>273</v>
      </c>
      <c r="AI101" s="16">
        <f t="shared" si="36"/>
        <v>0</v>
      </c>
      <c r="AJ101" s="16">
        <f t="shared" si="37"/>
        <v>0</v>
      </c>
      <c r="AK101" s="16">
        <f t="shared" si="38"/>
        <v>0</v>
      </c>
      <c r="AM101" s="26">
        <v>15</v>
      </c>
      <c r="AN101" s="26">
        <f>H101*0</f>
        <v>0</v>
      </c>
      <c r="AO101" s="26">
        <f>H101*(1-0)</f>
        <v>0</v>
      </c>
      <c r="AP101" s="27" t="s">
        <v>7</v>
      </c>
      <c r="AU101" s="26">
        <f t="shared" si="39"/>
        <v>0</v>
      </c>
      <c r="AV101" s="26">
        <f t="shared" si="40"/>
        <v>0</v>
      </c>
      <c r="AW101" s="26">
        <f t="shared" si="41"/>
        <v>0</v>
      </c>
      <c r="AX101" s="29" t="s">
        <v>888</v>
      </c>
      <c r="AY101" s="29" t="s">
        <v>924</v>
      </c>
      <c r="AZ101" s="24" t="s">
        <v>937</v>
      </c>
      <c r="BB101" s="26">
        <f t="shared" si="42"/>
        <v>0</v>
      </c>
      <c r="BC101" s="26">
        <f t="shared" si="43"/>
        <v>0</v>
      </c>
      <c r="BD101" s="26">
        <v>0</v>
      </c>
      <c r="BE101" s="26">
        <f t="shared" si="44"/>
        <v>0</v>
      </c>
      <c r="BG101" s="16">
        <f t="shared" si="45"/>
        <v>0</v>
      </c>
      <c r="BH101" s="16">
        <f t="shared" si="46"/>
        <v>0</v>
      </c>
      <c r="BI101" s="16">
        <f t="shared" si="47"/>
        <v>0</v>
      </c>
      <c r="BJ101" s="16" t="s">
        <v>945</v>
      </c>
      <c r="BK101" s="26">
        <v>63</v>
      </c>
    </row>
    <row r="102" spans="1:63" ht="12.75">
      <c r="A102" s="4" t="s">
        <v>57</v>
      </c>
      <c r="B102" s="12" t="s">
        <v>273</v>
      </c>
      <c r="C102" s="53" t="s">
        <v>320</v>
      </c>
      <c r="D102" s="230" t="s">
        <v>601</v>
      </c>
      <c r="E102" s="231"/>
      <c r="F102" s="62" t="s">
        <v>847</v>
      </c>
      <c r="G102" s="104">
        <v>19.5</v>
      </c>
      <c r="H102" s="104"/>
      <c r="I102" s="16">
        <f t="shared" si="24"/>
        <v>0</v>
      </c>
      <c r="J102" s="16">
        <f t="shared" si="25"/>
        <v>0</v>
      </c>
      <c r="K102" s="126">
        <f t="shared" si="26"/>
        <v>0</v>
      </c>
      <c r="L102" s="16">
        <v>0.08</v>
      </c>
      <c r="M102" s="16">
        <f t="shared" si="27"/>
        <v>1.56</v>
      </c>
      <c r="N102" s="5"/>
      <c r="Y102" s="26">
        <f t="shared" si="28"/>
        <v>0</v>
      </c>
      <c r="AA102" s="26">
        <f t="shared" si="29"/>
        <v>0</v>
      </c>
      <c r="AB102" s="26">
        <f t="shared" si="30"/>
        <v>0</v>
      </c>
      <c r="AC102" s="26">
        <f t="shared" si="31"/>
        <v>0</v>
      </c>
      <c r="AD102" s="26">
        <f t="shared" si="32"/>
        <v>0</v>
      </c>
      <c r="AE102" s="26">
        <f t="shared" si="33"/>
        <v>0</v>
      </c>
      <c r="AF102" s="26">
        <f t="shared" si="34"/>
        <v>0</v>
      </c>
      <c r="AG102" s="26">
        <f t="shared" si="35"/>
        <v>0</v>
      </c>
      <c r="AH102" s="24" t="s">
        <v>273</v>
      </c>
      <c r="AI102" s="16">
        <f t="shared" si="36"/>
        <v>0</v>
      </c>
      <c r="AJ102" s="16">
        <f t="shared" si="37"/>
        <v>0</v>
      </c>
      <c r="AK102" s="16">
        <f t="shared" si="38"/>
        <v>0</v>
      </c>
      <c r="AM102" s="26">
        <v>15</v>
      </c>
      <c r="AN102" s="26">
        <f>H102*0.810063263204355</f>
        <v>0</v>
      </c>
      <c r="AO102" s="26">
        <f>H102*(1-0.810063263204355)</f>
        <v>0</v>
      </c>
      <c r="AP102" s="27" t="s">
        <v>7</v>
      </c>
      <c r="AU102" s="26">
        <f t="shared" si="39"/>
        <v>0</v>
      </c>
      <c r="AV102" s="26">
        <f t="shared" si="40"/>
        <v>0</v>
      </c>
      <c r="AW102" s="26">
        <f t="shared" si="41"/>
        <v>0</v>
      </c>
      <c r="AX102" s="29" t="s">
        <v>888</v>
      </c>
      <c r="AY102" s="29" t="s">
        <v>924</v>
      </c>
      <c r="AZ102" s="24" t="s">
        <v>937</v>
      </c>
      <c r="BB102" s="26">
        <f t="shared" si="42"/>
        <v>0</v>
      </c>
      <c r="BC102" s="26">
        <f t="shared" si="43"/>
        <v>0</v>
      </c>
      <c r="BD102" s="26">
        <v>0</v>
      </c>
      <c r="BE102" s="26">
        <f t="shared" si="44"/>
        <v>1.56</v>
      </c>
      <c r="BG102" s="16">
        <f t="shared" si="45"/>
        <v>0</v>
      </c>
      <c r="BH102" s="16">
        <f t="shared" si="46"/>
        <v>0</v>
      </c>
      <c r="BI102" s="16">
        <f t="shared" si="47"/>
        <v>0</v>
      </c>
      <c r="BJ102" s="16" t="s">
        <v>945</v>
      </c>
      <c r="BK102" s="26">
        <v>63</v>
      </c>
    </row>
    <row r="103" spans="1:63" ht="12.75">
      <c r="A103" s="4" t="s">
        <v>58</v>
      </c>
      <c r="B103" s="12" t="s">
        <v>273</v>
      </c>
      <c r="C103" s="53" t="s">
        <v>321</v>
      </c>
      <c r="D103" s="230" t="s">
        <v>602</v>
      </c>
      <c r="E103" s="231"/>
      <c r="F103" s="62" t="s">
        <v>847</v>
      </c>
      <c r="G103" s="104">
        <v>19.5</v>
      </c>
      <c r="H103" s="104"/>
      <c r="I103" s="16">
        <f t="shared" si="24"/>
        <v>0</v>
      </c>
      <c r="J103" s="16">
        <f t="shared" si="25"/>
        <v>0</v>
      </c>
      <c r="K103" s="126">
        <f t="shared" si="26"/>
        <v>0</v>
      </c>
      <c r="L103" s="16">
        <v>0</v>
      </c>
      <c r="M103" s="16">
        <f t="shared" si="27"/>
        <v>0</v>
      </c>
      <c r="N103" s="5"/>
      <c r="Y103" s="26">
        <f t="shared" si="28"/>
        <v>0</v>
      </c>
      <c r="AA103" s="26">
        <f t="shared" si="29"/>
        <v>0</v>
      </c>
      <c r="AB103" s="26">
        <f t="shared" si="30"/>
        <v>0</v>
      </c>
      <c r="AC103" s="26">
        <f t="shared" si="31"/>
        <v>0</v>
      </c>
      <c r="AD103" s="26">
        <f t="shared" si="32"/>
        <v>0</v>
      </c>
      <c r="AE103" s="26">
        <f t="shared" si="33"/>
        <v>0</v>
      </c>
      <c r="AF103" s="26">
        <f t="shared" si="34"/>
        <v>0</v>
      </c>
      <c r="AG103" s="26">
        <f t="shared" si="35"/>
        <v>0</v>
      </c>
      <c r="AH103" s="24" t="s">
        <v>273</v>
      </c>
      <c r="AI103" s="16">
        <f t="shared" si="36"/>
        <v>0</v>
      </c>
      <c r="AJ103" s="16">
        <f t="shared" si="37"/>
        <v>0</v>
      </c>
      <c r="AK103" s="16">
        <f t="shared" si="38"/>
        <v>0</v>
      </c>
      <c r="AM103" s="26">
        <v>15</v>
      </c>
      <c r="AN103" s="26">
        <f>H103*0</f>
        <v>0</v>
      </c>
      <c r="AO103" s="26">
        <f>H103*(1-0)</f>
        <v>0</v>
      </c>
      <c r="AP103" s="27" t="s">
        <v>7</v>
      </c>
      <c r="AU103" s="26">
        <f t="shared" si="39"/>
        <v>0</v>
      </c>
      <c r="AV103" s="26">
        <f t="shared" si="40"/>
        <v>0</v>
      </c>
      <c r="AW103" s="26">
        <f t="shared" si="41"/>
        <v>0</v>
      </c>
      <c r="AX103" s="29" t="s">
        <v>888</v>
      </c>
      <c r="AY103" s="29" t="s">
        <v>924</v>
      </c>
      <c r="AZ103" s="24" t="s">
        <v>937</v>
      </c>
      <c r="BB103" s="26">
        <f t="shared" si="42"/>
        <v>0</v>
      </c>
      <c r="BC103" s="26">
        <f t="shared" si="43"/>
        <v>0</v>
      </c>
      <c r="BD103" s="26">
        <v>0</v>
      </c>
      <c r="BE103" s="26">
        <f t="shared" si="44"/>
        <v>0</v>
      </c>
      <c r="BG103" s="16">
        <f t="shared" si="45"/>
        <v>0</v>
      </c>
      <c r="BH103" s="16">
        <f t="shared" si="46"/>
        <v>0</v>
      </c>
      <c r="BI103" s="16">
        <f t="shared" si="47"/>
        <v>0</v>
      </c>
      <c r="BJ103" s="16" t="s">
        <v>945</v>
      </c>
      <c r="BK103" s="26">
        <v>63</v>
      </c>
    </row>
    <row r="104" spans="1:63" ht="12.75">
      <c r="A104" s="4"/>
      <c r="B104" s="12"/>
      <c r="C104" s="59" t="s">
        <v>991</v>
      </c>
      <c r="D104" s="232" t="s">
        <v>1147</v>
      </c>
      <c r="E104" s="233"/>
      <c r="F104" s="233"/>
      <c r="G104" s="233"/>
      <c r="H104" s="233"/>
      <c r="I104" s="233"/>
      <c r="J104" s="233"/>
      <c r="K104" s="233"/>
      <c r="L104" s="233"/>
      <c r="M104" s="233"/>
      <c r="N104" s="5"/>
      <c r="Y104" s="26"/>
      <c r="AA104" s="26"/>
      <c r="AB104" s="26"/>
      <c r="AC104" s="26"/>
      <c r="AD104" s="26"/>
      <c r="AE104" s="26"/>
      <c r="AF104" s="26"/>
      <c r="AG104" s="26"/>
      <c r="AH104" s="24"/>
      <c r="AI104" s="16"/>
      <c r="AJ104" s="16"/>
      <c r="AK104" s="16"/>
      <c r="AM104" s="26"/>
      <c r="AN104" s="26"/>
      <c r="AO104" s="26"/>
      <c r="AP104" s="27"/>
      <c r="AU104" s="26"/>
      <c r="AV104" s="26"/>
      <c r="AW104" s="26"/>
      <c r="AX104" s="29"/>
      <c r="AY104" s="29"/>
      <c r="AZ104" s="24"/>
      <c r="BB104" s="26"/>
      <c r="BC104" s="26"/>
      <c r="BD104" s="26"/>
      <c r="BE104" s="26"/>
      <c r="BG104" s="16"/>
      <c r="BH104" s="16"/>
      <c r="BI104" s="16"/>
      <c r="BJ104" s="16"/>
      <c r="BK104" s="26"/>
    </row>
    <row r="105" spans="1:63" ht="12.75">
      <c r="A105" s="4" t="s">
        <v>59</v>
      </c>
      <c r="B105" s="12" t="s">
        <v>273</v>
      </c>
      <c r="C105" s="53" t="s">
        <v>322</v>
      </c>
      <c r="D105" s="230" t="s">
        <v>603</v>
      </c>
      <c r="E105" s="231"/>
      <c r="F105" s="62" t="s">
        <v>847</v>
      </c>
      <c r="G105" s="104">
        <v>2.51782</v>
      </c>
      <c r="H105" s="104"/>
      <c r="I105" s="16">
        <f>G105*AN105</f>
        <v>0</v>
      </c>
      <c r="J105" s="16">
        <f>G105*AO105</f>
        <v>0</v>
      </c>
      <c r="K105" s="126">
        <f>G105*H105</f>
        <v>0</v>
      </c>
      <c r="L105" s="16">
        <v>0.22</v>
      </c>
      <c r="M105" s="16">
        <f>G105*L105</f>
        <v>0.5539204</v>
      </c>
      <c r="N105" s="5"/>
      <c r="Y105" s="26">
        <f>IF(AP105="5",BI105,0)</f>
        <v>0</v>
      </c>
      <c r="AA105" s="26">
        <f>IF(AP105="1",BG105,0)</f>
        <v>0</v>
      </c>
      <c r="AB105" s="26">
        <f>IF(AP105="1",BH105,0)</f>
        <v>0</v>
      </c>
      <c r="AC105" s="26">
        <f>IF(AP105="7",BG105,0)</f>
        <v>0</v>
      </c>
      <c r="AD105" s="26">
        <f>IF(AP105="7",BH105,0)</f>
        <v>0</v>
      </c>
      <c r="AE105" s="26">
        <f>IF(AP105="2",BG105,0)</f>
        <v>0</v>
      </c>
      <c r="AF105" s="26">
        <f>IF(AP105="2",BH105,0)</f>
        <v>0</v>
      </c>
      <c r="AG105" s="26">
        <f>IF(AP105="0",BI105,0)</f>
        <v>0</v>
      </c>
      <c r="AH105" s="24" t="s">
        <v>273</v>
      </c>
      <c r="AI105" s="16">
        <f>IF(AM105=0,K105,0)</f>
        <v>0</v>
      </c>
      <c r="AJ105" s="16">
        <f>IF(AM105=15,K105,0)</f>
        <v>0</v>
      </c>
      <c r="AK105" s="16">
        <f>IF(AM105=21,K105,0)</f>
        <v>0</v>
      </c>
      <c r="AM105" s="26">
        <v>15</v>
      </c>
      <c r="AN105" s="26">
        <f>H105*0</f>
        <v>0</v>
      </c>
      <c r="AO105" s="26">
        <f>H105*(1-0)</f>
        <v>0</v>
      </c>
      <c r="AP105" s="27" t="s">
        <v>7</v>
      </c>
      <c r="AU105" s="26">
        <f>AV105+AW105</f>
        <v>0</v>
      </c>
      <c r="AV105" s="26">
        <f>G105*AN105</f>
        <v>0</v>
      </c>
      <c r="AW105" s="26">
        <f>G105*AO105</f>
        <v>0</v>
      </c>
      <c r="AX105" s="29" t="s">
        <v>888</v>
      </c>
      <c r="AY105" s="29" t="s">
        <v>924</v>
      </c>
      <c r="AZ105" s="24" t="s">
        <v>937</v>
      </c>
      <c r="BB105" s="26">
        <f>AV105+AW105</f>
        <v>0</v>
      </c>
      <c r="BC105" s="26">
        <f>H105/(100-BD105)*100</f>
        <v>0</v>
      </c>
      <c r="BD105" s="26">
        <v>0</v>
      </c>
      <c r="BE105" s="26">
        <f>M105</f>
        <v>0.5539204</v>
      </c>
      <c r="BG105" s="16">
        <f>G105*AN105</f>
        <v>0</v>
      </c>
      <c r="BH105" s="16">
        <f>G105*AO105</f>
        <v>0</v>
      </c>
      <c r="BI105" s="16">
        <f>G105*H105</f>
        <v>0</v>
      </c>
      <c r="BJ105" s="16" t="s">
        <v>945</v>
      </c>
      <c r="BK105" s="26">
        <v>63</v>
      </c>
    </row>
    <row r="106" spans="1:14" s="58" customFormat="1" ht="12.75">
      <c r="A106" s="57"/>
      <c r="C106" s="59" t="s">
        <v>1004</v>
      </c>
      <c r="D106" s="234" t="s">
        <v>1028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57"/>
    </row>
    <row r="107" spans="1:46" ht="12.75">
      <c r="A107" s="3"/>
      <c r="B107" s="11" t="s">
        <v>273</v>
      </c>
      <c r="C107" s="52" t="s">
        <v>70</v>
      </c>
      <c r="D107" s="228" t="s">
        <v>604</v>
      </c>
      <c r="E107" s="229"/>
      <c r="F107" s="61" t="s">
        <v>6</v>
      </c>
      <c r="G107" s="61" t="s">
        <v>6</v>
      </c>
      <c r="H107" s="61" t="s">
        <v>6</v>
      </c>
      <c r="I107" s="31">
        <f>SUM(I108:I124)</f>
        <v>0</v>
      </c>
      <c r="J107" s="31">
        <f>SUM(J108:J124)</f>
        <v>0</v>
      </c>
      <c r="K107" s="128">
        <f>SUM(K108:K124)</f>
        <v>0</v>
      </c>
      <c r="L107" s="24"/>
      <c r="M107" s="31">
        <f>SUM(M108:M124)</f>
        <v>0.29539940000000003</v>
      </c>
      <c r="N107" s="5"/>
      <c r="AH107" s="24" t="s">
        <v>273</v>
      </c>
      <c r="AR107" s="31">
        <f>SUM(AI108:AI124)</f>
        <v>0</v>
      </c>
      <c r="AS107" s="31">
        <f>SUM(AJ108:AJ124)</f>
        <v>0</v>
      </c>
      <c r="AT107" s="31">
        <f>SUM(AK108:AK124)</f>
        <v>0</v>
      </c>
    </row>
    <row r="108" spans="1:63" ht="12.75">
      <c r="A108" s="4" t="s">
        <v>60</v>
      </c>
      <c r="B108" s="12" t="s">
        <v>273</v>
      </c>
      <c r="C108" s="53" t="s">
        <v>323</v>
      </c>
      <c r="D108" s="230" t="s">
        <v>605</v>
      </c>
      <c r="E108" s="231"/>
      <c r="F108" s="62" t="s">
        <v>846</v>
      </c>
      <c r="G108" s="104">
        <v>20.62</v>
      </c>
      <c r="H108" s="104"/>
      <c r="I108" s="16">
        <f>G108*AN108</f>
        <v>0</v>
      </c>
      <c r="J108" s="16">
        <f>G108*AO108</f>
        <v>0</v>
      </c>
      <c r="K108" s="126">
        <f>G108*H108</f>
        <v>0</v>
      </c>
      <c r="L108" s="16">
        <v>0.00887</v>
      </c>
      <c r="M108" s="16">
        <f>G108*L108</f>
        <v>0.1828994</v>
      </c>
      <c r="N108" s="5"/>
      <c r="Y108" s="26">
        <f>IF(AP108="5",BI108,0)</f>
        <v>0</v>
      </c>
      <c r="AA108" s="26">
        <f>IF(AP108="1",BG108,0)</f>
        <v>0</v>
      </c>
      <c r="AB108" s="26">
        <f>IF(AP108="1",BH108,0)</f>
        <v>0</v>
      </c>
      <c r="AC108" s="26">
        <f>IF(AP108="7",BG108,0)</f>
        <v>0</v>
      </c>
      <c r="AD108" s="26">
        <f>IF(AP108="7",BH108,0)</f>
        <v>0</v>
      </c>
      <c r="AE108" s="26">
        <f>IF(AP108="2",BG108,0)</f>
        <v>0</v>
      </c>
      <c r="AF108" s="26">
        <f>IF(AP108="2",BH108,0)</f>
        <v>0</v>
      </c>
      <c r="AG108" s="26">
        <f>IF(AP108="0",BI108,0)</f>
        <v>0</v>
      </c>
      <c r="AH108" s="24" t="s">
        <v>273</v>
      </c>
      <c r="AI108" s="16">
        <f>IF(AM108=0,K108,0)</f>
        <v>0</v>
      </c>
      <c r="AJ108" s="16">
        <f>IF(AM108=15,K108,0)</f>
        <v>0</v>
      </c>
      <c r="AK108" s="16">
        <f>IF(AM108=21,K108,0)</f>
        <v>0</v>
      </c>
      <c r="AM108" s="26">
        <v>15</v>
      </c>
      <c r="AN108" s="26">
        <f>H108*0.0968758744805816</f>
        <v>0</v>
      </c>
      <c r="AO108" s="26">
        <f>H108*(1-0.0968758744805816)</f>
        <v>0</v>
      </c>
      <c r="AP108" s="27" t="s">
        <v>7</v>
      </c>
      <c r="AU108" s="26">
        <f>AV108+AW108</f>
        <v>0</v>
      </c>
      <c r="AV108" s="26">
        <f>G108*AN108</f>
        <v>0</v>
      </c>
      <c r="AW108" s="26">
        <f>G108*AO108</f>
        <v>0</v>
      </c>
      <c r="AX108" s="29" t="s">
        <v>889</v>
      </c>
      <c r="AY108" s="29" t="s">
        <v>924</v>
      </c>
      <c r="AZ108" s="24" t="s">
        <v>937</v>
      </c>
      <c r="BB108" s="26">
        <f>AV108+AW108</f>
        <v>0</v>
      </c>
      <c r="BC108" s="26">
        <f>H108/(100-BD108)*100</f>
        <v>0</v>
      </c>
      <c r="BD108" s="26">
        <v>0</v>
      </c>
      <c r="BE108" s="26">
        <f>M108</f>
        <v>0.1828994</v>
      </c>
      <c r="BG108" s="16">
        <f>G108*AN108</f>
        <v>0</v>
      </c>
      <c r="BH108" s="16">
        <f>G108*AO108</f>
        <v>0</v>
      </c>
      <c r="BI108" s="16">
        <f>G108*H108</f>
        <v>0</v>
      </c>
      <c r="BJ108" s="16" t="s">
        <v>945</v>
      </c>
      <c r="BK108" s="26">
        <v>64</v>
      </c>
    </row>
    <row r="109" spans="1:14" s="58" customFormat="1" ht="25.5" customHeight="1">
      <c r="A109" s="57"/>
      <c r="C109" s="59" t="s">
        <v>991</v>
      </c>
      <c r="D109" s="232" t="s">
        <v>1029</v>
      </c>
      <c r="E109" s="233"/>
      <c r="F109" s="233"/>
      <c r="G109" s="233"/>
      <c r="H109" s="233"/>
      <c r="I109" s="233"/>
      <c r="J109" s="233"/>
      <c r="K109" s="233"/>
      <c r="L109" s="233"/>
      <c r="M109" s="233"/>
      <c r="N109" s="57"/>
    </row>
    <row r="110" spans="1:63" ht="12.75">
      <c r="A110" s="4" t="s">
        <v>61</v>
      </c>
      <c r="B110" s="12" t="s">
        <v>273</v>
      </c>
      <c r="C110" s="53" t="s">
        <v>324</v>
      </c>
      <c r="D110" s="230" t="s">
        <v>606</v>
      </c>
      <c r="E110" s="231"/>
      <c r="F110" s="62" t="s">
        <v>850</v>
      </c>
      <c r="G110" s="104">
        <v>3</v>
      </c>
      <c r="H110" s="104"/>
      <c r="I110" s="16">
        <f>G110*AN110</f>
        <v>0</v>
      </c>
      <c r="J110" s="16">
        <f>G110*AO110</f>
        <v>0</v>
      </c>
      <c r="K110" s="126">
        <f>G110*H110</f>
        <v>0</v>
      </c>
      <c r="L110" s="16">
        <v>0.006</v>
      </c>
      <c r="M110" s="16">
        <f>G110*L110</f>
        <v>0.018000000000000002</v>
      </c>
      <c r="N110" s="5"/>
      <c r="Y110" s="26">
        <f>IF(AP110="5",BI110,0)</f>
        <v>0</v>
      </c>
      <c r="AA110" s="26">
        <f>IF(AP110="1",BG110,0)</f>
        <v>0</v>
      </c>
      <c r="AB110" s="26">
        <f>IF(AP110="1",BH110,0)</f>
        <v>0</v>
      </c>
      <c r="AC110" s="26">
        <f>IF(AP110="7",BG110,0)</f>
        <v>0</v>
      </c>
      <c r="AD110" s="26">
        <f>IF(AP110="7",BH110,0)</f>
        <v>0</v>
      </c>
      <c r="AE110" s="26">
        <f>IF(AP110="2",BG110,0)</f>
        <v>0</v>
      </c>
      <c r="AF110" s="26">
        <f>IF(AP110="2",BH110,0)</f>
        <v>0</v>
      </c>
      <c r="AG110" s="26">
        <f>IF(AP110="0",BI110,0)</f>
        <v>0</v>
      </c>
      <c r="AH110" s="24" t="s">
        <v>273</v>
      </c>
      <c r="AI110" s="16">
        <f>IF(AM110=0,K110,0)</f>
        <v>0</v>
      </c>
      <c r="AJ110" s="16">
        <f>IF(AM110=15,K110,0)</f>
        <v>0</v>
      </c>
      <c r="AK110" s="16">
        <f>IF(AM110=21,K110,0)</f>
        <v>0</v>
      </c>
      <c r="AM110" s="26">
        <v>15</v>
      </c>
      <c r="AN110" s="26">
        <f>H110*0.738813989488084</f>
        <v>0</v>
      </c>
      <c r="AO110" s="26">
        <f>H110*(1-0.738813989488084)</f>
        <v>0</v>
      </c>
      <c r="AP110" s="27" t="s">
        <v>7</v>
      </c>
      <c r="AU110" s="26">
        <f>AV110+AW110</f>
        <v>0</v>
      </c>
      <c r="AV110" s="26">
        <f>G110*AN110</f>
        <v>0</v>
      </c>
      <c r="AW110" s="26">
        <f>G110*AO110</f>
        <v>0</v>
      </c>
      <c r="AX110" s="29" t="s">
        <v>889</v>
      </c>
      <c r="AY110" s="29" t="s">
        <v>924</v>
      </c>
      <c r="AZ110" s="24" t="s">
        <v>937</v>
      </c>
      <c r="BB110" s="26">
        <f>AV110+AW110</f>
        <v>0</v>
      </c>
      <c r="BC110" s="26">
        <f>H110/(100-BD110)*100</f>
        <v>0</v>
      </c>
      <c r="BD110" s="26">
        <v>0</v>
      </c>
      <c r="BE110" s="26">
        <f>M110</f>
        <v>0.018000000000000002</v>
      </c>
      <c r="BG110" s="16">
        <f>G110*AN110</f>
        <v>0</v>
      </c>
      <c r="BH110" s="16">
        <f>G110*AO110</f>
        <v>0</v>
      </c>
      <c r="BI110" s="16">
        <f>G110*H110</f>
        <v>0</v>
      </c>
      <c r="BJ110" s="16" t="s">
        <v>945</v>
      </c>
      <c r="BK110" s="26">
        <v>64</v>
      </c>
    </row>
    <row r="111" spans="1:14" s="58" customFormat="1" ht="14.25" customHeight="1">
      <c r="A111" s="57"/>
      <c r="C111" s="59" t="s">
        <v>991</v>
      </c>
      <c r="D111" s="232" t="s">
        <v>1030</v>
      </c>
      <c r="E111" s="233"/>
      <c r="F111" s="233"/>
      <c r="G111" s="233"/>
      <c r="H111" s="233"/>
      <c r="I111" s="233"/>
      <c r="J111" s="233"/>
      <c r="K111" s="233"/>
      <c r="L111" s="233"/>
      <c r="M111" s="233"/>
      <c r="N111" s="57"/>
    </row>
    <row r="112" spans="1:63" ht="12.75">
      <c r="A112" s="4" t="s">
        <v>62</v>
      </c>
      <c r="B112" s="12" t="s">
        <v>273</v>
      </c>
      <c r="C112" s="53" t="s">
        <v>325</v>
      </c>
      <c r="D112" s="230" t="s">
        <v>607</v>
      </c>
      <c r="E112" s="231"/>
      <c r="F112" s="62" t="s">
        <v>846</v>
      </c>
      <c r="G112" s="104">
        <v>82.3</v>
      </c>
      <c r="H112" s="104"/>
      <c r="I112" s="16">
        <f>G112*AN112</f>
        <v>0</v>
      </c>
      <c r="J112" s="16">
        <f>G112*AO112</f>
        <v>0</v>
      </c>
      <c r="K112" s="126">
        <f>G112*H112</f>
        <v>0</v>
      </c>
      <c r="L112" s="16">
        <v>0</v>
      </c>
      <c r="M112" s="16">
        <f>G112*L112</f>
        <v>0</v>
      </c>
      <c r="N112" s="5"/>
      <c r="Y112" s="26">
        <f>IF(AP112="5",BI112,0)</f>
        <v>0</v>
      </c>
      <c r="AA112" s="26">
        <f>IF(AP112="1",BG112,0)</f>
        <v>0</v>
      </c>
      <c r="AB112" s="26">
        <f>IF(AP112="1",BH112,0)</f>
        <v>0</v>
      </c>
      <c r="AC112" s="26">
        <f>IF(AP112="7",BG112,0)</f>
        <v>0</v>
      </c>
      <c r="AD112" s="26">
        <f>IF(AP112="7",BH112,0)</f>
        <v>0</v>
      </c>
      <c r="AE112" s="26">
        <f>IF(AP112="2",BG112,0)</f>
        <v>0</v>
      </c>
      <c r="AF112" s="26">
        <f>IF(AP112="2",BH112,0)</f>
        <v>0</v>
      </c>
      <c r="AG112" s="26">
        <f>IF(AP112="0",BI112,0)</f>
        <v>0</v>
      </c>
      <c r="AH112" s="24" t="s">
        <v>273</v>
      </c>
      <c r="AI112" s="16">
        <f>IF(AM112=0,K112,0)</f>
        <v>0</v>
      </c>
      <c r="AJ112" s="16">
        <f>IF(AM112=15,K112,0)</f>
        <v>0</v>
      </c>
      <c r="AK112" s="16">
        <f>IF(AM112=21,K112,0)</f>
        <v>0</v>
      </c>
      <c r="AM112" s="26">
        <v>15</v>
      </c>
      <c r="AN112" s="26">
        <f>H112*0</f>
        <v>0</v>
      </c>
      <c r="AO112" s="26">
        <f>H112*(1-0)</f>
        <v>0</v>
      </c>
      <c r="AP112" s="27" t="s">
        <v>7</v>
      </c>
      <c r="AU112" s="26">
        <f>AV112+AW112</f>
        <v>0</v>
      </c>
      <c r="AV112" s="26">
        <f>G112*AN112</f>
        <v>0</v>
      </c>
      <c r="AW112" s="26">
        <f>G112*AO112</f>
        <v>0</v>
      </c>
      <c r="AX112" s="29" t="s">
        <v>889</v>
      </c>
      <c r="AY112" s="29" t="s">
        <v>924</v>
      </c>
      <c r="AZ112" s="24" t="s">
        <v>937</v>
      </c>
      <c r="BB112" s="26">
        <f>AV112+AW112</f>
        <v>0</v>
      </c>
      <c r="BC112" s="26">
        <f>H112/(100-BD112)*100</f>
        <v>0</v>
      </c>
      <c r="BD112" s="26">
        <v>0</v>
      </c>
      <c r="BE112" s="26">
        <f>M112</f>
        <v>0</v>
      </c>
      <c r="BG112" s="16">
        <f>G112*AN112</f>
        <v>0</v>
      </c>
      <c r="BH112" s="16">
        <f>G112*AO112</f>
        <v>0</v>
      </c>
      <c r="BI112" s="16">
        <f>G112*H112</f>
        <v>0</v>
      </c>
      <c r="BJ112" s="16" t="s">
        <v>945</v>
      </c>
      <c r="BK112" s="26">
        <v>64</v>
      </c>
    </row>
    <row r="113" spans="1:14" s="58" customFormat="1" ht="12.75">
      <c r="A113" s="57"/>
      <c r="C113" s="59" t="s">
        <v>991</v>
      </c>
      <c r="D113" s="232" t="s">
        <v>1031</v>
      </c>
      <c r="E113" s="233"/>
      <c r="F113" s="233"/>
      <c r="G113" s="233"/>
      <c r="H113" s="233"/>
      <c r="I113" s="233"/>
      <c r="J113" s="233"/>
      <c r="K113" s="233"/>
      <c r="L113" s="233"/>
      <c r="M113" s="233"/>
      <c r="N113" s="57"/>
    </row>
    <row r="114" spans="1:63" ht="12.75">
      <c r="A114" s="4" t="s">
        <v>63</v>
      </c>
      <c r="B114" s="12" t="s">
        <v>273</v>
      </c>
      <c r="C114" s="53" t="s">
        <v>326</v>
      </c>
      <c r="D114" s="230" t="s">
        <v>608</v>
      </c>
      <c r="E114" s="231"/>
      <c r="F114" s="62" t="s">
        <v>850</v>
      </c>
      <c r="G114" s="104">
        <v>21</v>
      </c>
      <c r="H114" s="104"/>
      <c r="I114" s="16">
        <f>G114*AN114</f>
        <v>0</v>
      </c>
      <c r="J114" s="16">
        <f>G114*AO114</f>
        <v>0</v>
      </c>
      <c r="K114" s="126">
        <f>G114*H114</f>
        <v>0</v>
      </c>
      <c r="L114" s="16">
        <v>0.003</v>
      </c>
      <c r="M114" s="16">
        <f>G114*L114</f>
        <v>0.063</v>
      </c>
      <c r="N114" s="5"/>
      <c r="Y114" s="26">
        <f>IF(AP114="5",BI114,0)</f>
        <v>0</v>
      </c>
      <c r="AA114" s="26">
        <f>IF(AP114="1",BG114,0)</f>
        <v>0</v>
      </c>
      <c r="AB114" s="26">
        <f>IF(AP114="1",BH114,0)</f>
        <v>0</v>
      </c>
      <c r="AC114" s="26">
        <f>IF(AP114="7",BG114,0)</f>
        <v>0</v>
      </c>
      <c r="AD114" s="26">
        <f>IF(AP114="7",BH114,0)</f>
        <v>0</v>
      </c>
      <c r="AE114" s="26">
        <f>IF(AP114="2",BG114,0)</f>
        <v>0</v>
      </c>
      <c r="AF114" s="26">
        <f>IF(AP114="2",BH114,0)</f>
        <v>0</v>
      </c>
      <c r="AG114" s="26">
        <f>IF(AP114="0",BI114,0)</f>
        <v>0</v>
      </c>
      <c r="AH114" s="24" t="s">
        <v>273</v>
      </c>
      <c r="AI114" s="16">
        <f>IF(AM114=0,K114,0)</f>
        <v>0</v>
      </c>
      <c r="AJ114" s="16">
        <f>IF(AM114=15,K114,0)</f>
        <v>0</v>
      </c>
      <c r="AK114" s="16">
        <f>IF(AM114=21,K114,0)</f>
        <v>0</v>
      </c>
      <c r="AM114" s="26">
        <v>15</v>
      </c>
      <c r="AN114" s="26">
        <f>H114*0.777261719859044</f>
        <v>0</v>
      </c>
      <c r="AO114" s="26">
        <f>H114*(1-0.777261719859044)</f>
        <v>0</v>
      </c>
      <c r="AP114" s="27" t="s">
        <v>7</v>
      </c>
      <c r="AU114" s="26">
        <f>AV114+AW114</f>
        <v>0</v>
      </c>
      <c r="AV114" s="26">
        <f>G114*AN114</f>
        <v>0</v>
      </c>
      <c r="AW114" s="26">
        <f>G114*AO114</f>
        <v>0</v>
      </c>
      <c r="AX114" s="29" t="s">
        <v>889</v>
      </c>
      <c r="AY114" s="29" t="s">
        <v>924</v>
      </c>
      <c r="AZ114" s="24" t="s">
        <v>937</v>
      </c>
      <c r="BB114" s="26">
        <f>AV114+AW114</f>
        <v>0</v>
      </c>
      <c r="BC114" s="26">
        <f>H114/(100-BD114)*100</f>
        <v>0</v>
      </c>
      <c r="BD114" s="26">
        <v>0</v>
      </c>
      <c r="BE114" s="26">
        <f>M114</f>
        <v>0.063</v>
      </c>
      <c r="BG114" s="16">
        <f>G114*AN114</f>
        <v>0</v>
      </c>
      <c r="BH114" s="16">
        <f>G114*AO114</f>
        <v>0</v>
      </c>
      <c r="BI114" s="16">
        <f>G114*H114</f>
        <v>0</v>
      </c>
      <c r="BJ114" s="16" t="s">
        <v>945</v>
      </c>
      <c r="BK114" s="26">
        <v>64</v>
      </c>
    </row>
    <row r="115" spans="1:14" s="58" customFormat="1" ht="14.25" customHeight="1">
      <c r="A115" s="57"/>
      <c r="C115" s="59" t="s">
        <v>991</v>
      </c>
      <c r="D115" s="232" t="s">
        <v>1030</v>
      </c>
      <c r="E115" s="233"/>
      <c r="F115" s="233"/>
      <c r="G115" s="233"/>
      <c r="H115" s="233"/>
      <c r="I115" s="233"/>
      <c r="J115" s="233"/>
      <c r="K115" s="233"/>
      <c r="L115" s="233"/>
      <c r="M115" s="233"/>
      <c r="N115" s="57"/>
    </row>
    <row r="116" spans="1:63" ht="12.75">
      <c r="A116" s="4" t="s">
        <v>65</v>
      </c>
      <c r="B116" s="12" t="s">
        <v>273</v>
      </c>
      <c r="C116" s="53" t="s">
        <v>328</v>
      </c>
      <c r="D116" s="230" t="s">
        <v>610</v>
      </c>
      <c r="E116" s="231"/>
      <c r="F116" s="62" t="s">
        <v>850</v>
      </c>
      <c r="G116" s="104">
        <v>7</v>
      </c>
      <c r="H116" s="104"/>
      <c r="I116" s="16">
        <f>G116*AN116</f>
        <v>0</v>
      </c>
      <c r="J116" s="16">
        <f>G116*AO116</f>
        <v>0</v>
      </c>
      <c r="K116" s="126">
        <f>G116*H116</f>
        <v>0</v>
      </c>
      <c r="L116" s="16">
        <v>0.0025</v>
      </c>
      <c r="M116" s="16">
        <f>G116*L116</f>
        <v>0.0175</v>
      </c>
      <c r="N116" s="5"/>
      <c r="Y116" s="26">
        <f>IF(AP116="5",BI116,0)</f>
        <v>0</v>
      </c>
      <c r="AA116" s="26">
        <f>IF(AP116="1",BG116,0)</f>
        <v>0</v>
      </c>
      <c r="AB116" s="26">
        <f>IF(AP116="1",BH116,0)</f>
        <v>0</v>
      </c>
      <c r="AC116" s="26">
        <f>IF(AP116="7",BG116,0)</f>
        <v>0</v>
      </c>
      <c r="AD116" s="26">
        <f>IF(AP116="7",BH116,0)</f>
        <v>0</v>
      </c>
      <c r="AE116" s="26">
        <f>IF(AP116="2",BG116,0)</f>
        <v>0</v>
      </c>
      <c r="AF116" s="26">
        <f>IF(AP116="2",BH116,0)</f>
        <v>0</v>
      </c>
      <c r="AG116" s="26">
        <f>IF(AP116="0",BI116,0)</f>
        <v>0</v>
      </c>
      <c r="AH116" s="24" t="s">
        <v>273</v>
      </c>
      <c r="AI116" s="16">
        <f>IF(AM116=0,K116,0)</f>
        <v>0</v>
      </c>
      <c r="AJ116" s="16">
        <f>IF(AM116=15,K116,0)</f>
        <v>0</v>
      </c>
      <c r="AK116" s="16">
        <f>IF(AM116=21,K116,0)</f>
        <v>0</v>
      </c>
      <c r="AM116" s="26">
        <v>15</v>
      </c>
      <c r="AN116" s="26">
        <f>H116*0.622487691898172</f>
        <v>0</v>
      </c>
      <c r="AO116" s="26">
        <f>H116*(1-0.622487691898172)</f>
        <v>0</v>
      </c>
      <c r="AP116" s="27" t="s">
        <v>7</v>
      </c>
      <c r="AU116" s="26">
        <f>AV116+AW116</f>
        <v>0</v>
      </c>
      <c r="AV116" s="26">
        <f>G116*AN116</f>
        <v>0</v>
      </c>
      <c r="AW116" s="26">
        <f>G116*AO116</f>
        <v>0</v>
      </c>
      <c r="AX116" s="29" t="s">
        <v>889</v>
      </c>
      <c r="AY116" s="29" t="s">
        <v>924</v>
      </c>
      <c r="AZ116" s="24" t="s">
        <v>937</v>
      </c>
      <c r="BB116" s="26">
        <f>AV116+AW116</f>
        <v>0</v>
      </c>
      <c r="BC116" s="26">
        <f>H116/(100-BD116)*100</f>
        <v>0</v>
      </c>
      <c r="BD116" s="26">
        <v>0</v>
      </c>
      <c r="BE116" s="26">
        <f>M116</f>
        <v>0.0175</v>
      </c>
      <c r="BG116" s="16">
        <f>G116*AN116</f>
        <v>0</v>
      </c>
      <c r="BH116" s="16">
        <f>G116*AO116</f>
        <v>0</v>
      </c>
      <c r="BI116" s="16">
        <f>G116*H116</f>
        <v>0</v>
      </c>
      <c r="BJ116" s="16" t="s">
        <v>945</v>
      </c>
      <c r="BK116" s="26">
        <v>64</v>
      </c>
    </row>
    <row r="117" spans="1:14" s="58" customFormat="1" ht="14.25" customHeight="1">
      <c r="A117" s="57"/>
      <c r="C117" s="59" t="s">
        <v>991</v>
      </c>
      <c r="D117" s="232" t="s">
        <v>1032</v>
      </c>
      <c r="E117" s="233"/>
      <c r="F117" s="233"/>
      <c r="G117" s="233"/>
      <c r="H117" s="233"/>
      <c r="I117" s="233"/>
      <c r="J117" s="233"/>
      <c r="K117" s="233"/>
      <c r="L117" s="233"/>
      <c r="M117" s="233"/>
      <c r="N117" s="57"/>
    </row>
    <row r="118" spans="1:63" ht="12.75">
      <c r="A118" s="4" t="s">
        <v>66</v>
      </c>
      <c r="B118" s="12" t="s">
        <v>273</v>
      </c>
      <c r="C118" s="53" t="s">
        <v>329</v>
      </c>
      <c r="D118" s="230" t="s">
        <v>611</v>
      </c>
      <c r="E118" s="231"/>
      <c r="F118" s="62" t="s">
        <v>850</v>
      </c>
      <c r="G118" s="104">
        <v>1</v>
      </c>
      <c r="H118" s="104"/>
      <c r="I118" s="16">
        <f>G118*AN118</f>
        <v>0</v>
      </c>
      <c r="J118" s="16">
        <f>G118*AO118</f>
        <v>0</v>
      </c>
      <c r="K118" s="126">
        <f>G118*H118</f>
        <v>0</v>
      </c>
      <c r="L118" s="16">
        <v>0.002</v>
      </c>
      <c r="M118" s="16">
        <f>G118*L118</f>
        <v>0.002</v>
      </c>
      <c r="N118" s="5"/>
      <c r="Y118" s="26">
        <f>IF(AP118="5",BI118,0)</f>
        <v>0</v>
      </c>
      <c r="AA118" s="26">
        <f>IF(AP118="1",BG118,0)</f>
        <v>0</v>
      </c>
      <c r="AB118" s="26">
        <f>IF(AP118="1",BH118,0)</f>
        <v>0</v>
      </c>
      <c r="AC118" s="26">
        <f>IF(AP118="7",BG118,0)</f>
        <v>0</v>
      </c>
      <c r="AD118" s="26">
        <f>IF(AP118="7",BH118,0)</f>
        <v>0</v>
      </c>
      <c r="AE118" s="26">
        <f>IF(AP118="2",BG118,0)</f>
        <v>0</v>
      </c>
      <c r="AF118" s="26">
        <f>IF(AP118="2",BH118,0)</f>
        <v>0</v>
      </c>
      <c r="AG118" s="26">
        <f>IF(AP118="0",BI118,0)</f>
        <v>0</v>
      </c>
      <c r="AH118" s="24" t="s">
        <v>273</v>
      </c>
      <c r="AI118" s="16">
        <f>IF(AM118=0,K118,0)</f>
        <v>0</v>
      </c>
      <c r="AJ118" s="16">
        <f>IF(AM118=15,K118,0)</f>
        <v>0</v>
      </c>
      <c r="AK118" s="16">
        <f>IF(AM118=21,K118,0)</f>
        <v>0</v>
      </c>
      <c r="AM118" s="26">
        <v>15</v>
      </c>
      <c r="AN118" s="26">
        <f>H118*0.622487832678982</f>
        <v>0</v>
      </c>
      <c r="AO118" s="26">
        <f>H118*(1-0.622487832678982)</f>
        <v>0</v>
      </c>
      <c r="AP118" s="27" t="s">
        <v>7</v>
      </c>
      <c r="AU118" s="26">
        <f>AV118+AW118</f>
        <v>0</v>
      </c>
      <c r="AV118" s="26">
        <f>G118*AN118</f>
        <v>0</v>
      </c>
      <c r="AW118" s="26">
        <f>G118*AO118</f>
        <v>0</v>
      </c>
      <c r="AX118" s="29" t="s">
        <v>889</v>
      </c>
      <c r="AY118" s="29" t="s">
        <v>924</v>
      </c>
      <c r="AZ118" s="24" t="s">
        <v>937</v>
      </c>
      <c r="BB118" s="26">
        <f>AV118+AW118</f>
        <v>0</v>
      </c>
      <c r="BC118" s="26">
        <f>H118/(100-BD118)*100</f>
        <v>0</v>
      </c>
      <c r="BD118" s="26">
        <v>0</v>
      </c>
      <c r="BE118" s="26">
        <f>M118</f>
        <v>0.002</v>
      </c>
      <c r="BG118" s="16">
        <f>G118*AN118</f>
        <v>0</v>
      </c>
      <c r="BH118" s="16">
        <f>G118*AO118</f>
        <v>0</v>
      </c>
      <c r="BI118" s="16">
        <f>G118*H118</f>
        <v>0</v>
      </c>
      <c r="BJ118" s="16" t="s">
        <v>945</v>
      </c>
      <c r="BK118" s="26">
        <v>64</v>
      </c>
    </row>
    <row r="119" spans="1:14" s="58" customFormat="1" ht="14.25" customHeight="1">
      <c r="A119" s="57"/>
      <c r="C119" s="59" t="s">
        <v>991</v>
      </c>
      <c r="D119" s="232" t="s">
        <v>1032</v>
      </c>
      <c r="E119" s="233"/>
      <c r="F119" s="233"/>
      <c r="G119" s="233"/>
      <c r="H119" s="233"/>
      <c r="I119" s="233"/>
      <c r="J119" s="233"/>
      <c r="K119" s="233"/>
      <c r="L119" s="233"/>
      <c r="M119" s="233"/>
      <c r="N119" s="57"/>
    </row>
    <row r="120" spans="1:63" ht="12.75">
      <c r="A120" s="4" t="s">
        <v>67</v>
      </c>
      <c r="B120" s="12" t="s">
        <v>273</v>
      </c>
      <c r="C120" s="53" t="s">
        <v>330</v>
      </c>
      <c r="D120" s="230" t="s">
        <v>612</v>
      </c>
      <c r="E120" s="231"/>
      <c r="F120" s="62" t="s">
        <v>850</v>
      </c>
      <c r="G120" s="104">
        <v>6</v>
      </c>
      <c r="H120" s="104"/>
      <c r="I120" s="16">
        <f>G120*AN120</f>
        <v>0</v>
      </c>
      <c r="J120" s="16">
        <f>G120*AO120</f>
        <v>0</v>
      </c>
      <c r="K120" s="126">
        <f>G120*H120</f>
        <v>0</v>
      </c>
      <c r="L120" s="16">
        <v>0.001</v>
      </c>
      <c r="M120" s="16">
        <f>G120*L120</f>
        <v>0.006</v>
      </c>
      <c r="N120" s="5"/>
      <c r="Y120" s="26">
        <f>IF(AP120="5",BI120,0)</f>
        <v>0</v>
      </c>
      <c r="AA120" s="26">
        <f>IF(AP120="1",BG120,0)</f>
        <v>0</v>
      </c>
      <c r="AB120" s="26">
        <f>IF(AP120="1",BH120,0)</f>
        <v>0</v>
      </c>
      <c r="AC120" s="26">
        <f>IF(AP120="7",BG120,0)</f>
        <v>0</v>
      </c>
      <c r="AD120" s="26">
        <f>IF(AP120="7",BH120,0)</f>
        <v>0</v>
      </c>
      <c r="AE120" s="26">
        <f>IF(AP120="2",BG120,0)</f>
        <v>0</v>
      </c>
      <c r="AF120" s="26">
        <f>IF(AP120="2",BH120,0)</f>
        <v>0</v>
      </c>
      <c r="AG120" s="26">
        <f>IF(AP120="0",BI120,0)</f>
        <v>0</v>
      </c>
      <c r="AH120" s="24" t="s">
        <v>273</v>
      </c>
      <c r="AI120" s="16">
        <f>IF(AM120=0,K120,0)</f>
        <v>0</v>
      </c>
      <c r="AJ120" s="16">
        <f>IF(AM120=15,K120,0)</f>
        <v>0</v>
      </c>
      <c r="AK120" s="16">
        <f>IF(AM120=21,K120,0)</f>
        <v>0</v>
      </c>
      <c r="AM120" s="26">
        <v>15</v>
      </c>
      <c r="AN120" s="26">
        <f>H120*0.777261818181818</f>
        <v>0</v>
      </c>
      <c r="AO120" s="26">
        <f>H120*(1-0.777261818181818)</f>
        <v>0</v>
      </c>
      <c r="AP120" s="27" t="s">
        <v>7</v>
      </c>
      <c r="AU120" s="26">
        <f>AV120+AW120</f>
        <v>0</v>
      </c>
      <c r="AV120" s="26">
        <f>G120*AN120</f>
        <v>0</v>
      </c>
      <c r="AW120" s="26">
        <f>G120*AO120</f>
        <v>0</v>
      </c>
      <c r="AX120" s="29" t="s">
        <v>889</v>
      </c>
      <c r="AY120" s="29" t="s">
        <v>924</v>
      </c>
      <c r="AZ120" s="24" t="s">
        <v>937</v>
      </c>
      <c r="BB120" s="26">
        <f>AV120+AW120</f>
        <v>0</v>
      </c>
      <c r="BC120" s="26">
        <f>H120/(100-BD120)*100</f>
        <v>0</v>
      </c>
      <c r="BD120" s="26">
        <v>0</v>
      </c>
      <c r="BE120" s="26">
        <f>M120</f>
        <v>0.006</v>
      </c>
      <c r="BG120" s="16">
        <f>G120*AN120</f>
        <v>0</v>
      </c>
      <c r="BH120" s="16">
        <f>G120*AO120</f>
        <v>0</v>
      </c>
      <c r="BI120" s="16">
        <f>G120*H120</f>
        <v>0</v>
      </c>
      <c r="BJ120" s="16" t="s">
        <v>945</v>
      </c>
      <c r="BK120" s="26">
        <v>64</v>
      </c>
    </row>
    <row r="121" spans="1:14" s="58" customFormat="1" ht="12.75">
      <c r="A121" s="57"/>
      <c r="C121" s="59" t="s">
        <v>991</v>
      </c>
      <c r="D121" s="232" t="s">
        <v>1033</v>
      </c>
      <c r="E121" s="233"/>
      <c r="F121" s="233"/>
      <c r="G121" s="233"/>
      <c r="H121" s="233"/>
      <c r="I121" s="233"/>
      <c r="J121" s="233"/>
      <c r="K121" s="233"/>
      <c r="L121" s="233"/>
      <c r="M121" s="233"/>
      <c r="N121" s="57"/>
    </row>
    <row r="122" spans="1:63" ht="12.75">
      <c r="A122" s="4" t="s">
        <v>68</v>
      </c>
      <c r="B122" s="12" t="s">
        <v>273</v>
      </c>
      <c r="C122" s="53" t="s">
        <v>331</v>
      </c>
      <c r="D122" s="230" t="s">
        <v>613</v>
      </c>
      <c r="E122" s="231"/>
      <c r="F122" s="62" t="s">
        <v>850</v>
      </c>
      <c r="G122" s="104">
        <v>1</v>
      </c>
      <c r="H122" s="104"/>
      <c r="I122" s="16">
        <f>G122*AN122</f>
        <v>0</v>
      </c>
      <c r="J122" s="16">
        <f>G122*AO122</f>
        <v>0</v>
      </c>
      <c r="K122" s="126">
        <f>G122*H122</f>
        <v>0</v>
      </c>
      <c r="L122" s="16">
        <v>0.002</v>
      </c>
      <c r="M122" s="16">
        <f>G122*L122</f>
        <v>0.002</v>
      </c>
      <c r="N122" s="5"/>
      <c r="Y122" s="26">
        <f>IF(AP122="5",BI122,0)</f>
        <v>0</v>
      </c>
      <c r="AA122" s="26">
        <f>IF(AP122="1",BG122,0)</f>
        <v>0</v>
      </c>
      <c r="AB122" s="26">
        <f>IF(AP122="1",BH122,0)</f>
        <v>0</v>
      </c>
      <c r="AC122" s="26">
        <f>IF(AP122="7",BG122,0)</f>
        <v>0</v>
      </c>
      <c r="AD122" s="26">
        <f>IF(AP122="7",BH122,0)</f>
        <v>0</v>
      </c>
      <c r="AE122" s="26">
        <f>IF(AP122="2",BG122,0)</f>
        <v>0</v>
      </c>
      <c r="AF122" s="26">
        <f>IF(AP122="2",BH122,0)</f>
        <v>0</v>
      </c>
      <c r="AG122" s="26">
        <f>IF(AP122="0",BI122,0)</f>
        <v>0</v>
      </c>
      <c r="AH122" s="24" t="s">
        <v>273</v>
      </c>
      <c r="AI122" s="16">
        <f>IF(AM122=0,K122,0)</f>
        <v>0</v>
      </c>
      <c r="AJ122" s="16">
        <f>IF(AM122=15,K122,0)</f>
        <v>0</v>
      </c>
      <c r="AK122" s="16">
        <f>IF(AM122=21,K122,0)</f>
        <v>0</v>
      </c>
      <c r="AM122" s="26">
        <v>15</v>
      </c>
      <c r="AN122" s="26">
        <f>H122*0.620060022885252</f>
        <v>0</v>
      </c>
      <c r="AO122" s="26">
        <f>H122*(1-0.620060022885252)</f>
        <v>0</v>
      </c>
      <c r="AP122" s="27" t="s">
        <v>7</v>
      </c>
      <c r="AU122" s="26">
        <f>AV122+AW122</f>
        <v>0</v>
      </c>
      <c r="AV122" s="26">
        <f>G122*AN122</f>
        <v>0</v>
      </c>
      <c r="AW122" s="26">
        <f>G122*AO122</f>
        <v>0</v>
      </c>
      <c r="AX122" s="29" t="s">
        <v>889</v>
      </c>
      <c r="AY122" s="29" t="s">
        <v>924</v>
      </c>
      <c r="AZ122" s="24" t="s">
        <v>937</v>
      </c>
      <c r="BB122" s="26">
        <f>AV122+AW122</f>
        <v>0</v>
      </c>
      <c r="BC122" s="26">
        <f>H122/(100-BD122)*100</f>
        <v>0</v>
      </c>
      <c r="BD122" s="26">
        <v>0</v>
      </c>
      <c r="BE122" s="26">
        <f>M122</f>
        <v>0.002</v>
      </c>
      <c r="BG122" s="16">
        <f>G122*AN122</f>
        <v>0</v>
      </c>
      <c r="BH122" s="16">
        <f>G122*AO122</f>
        <v>0</v>
      </c>
      <c r="BI122" s="16">
        <f>G122*H122</f>
        <v>0</v>
      </c>
      <c r="BJ122" s="16" t="s">
        <v>945</v>
      </c>
      <c r="BK122" s="26">
        <v>64</v>
      </c>
    </row>
    <row r="123" spans="1:14" s="58" customFormat="1" ht="14.25" customHeight="1">
      <c r="A123" s="57"/>
      <c r="C123" s="59" t="s">
        <v>991</v>
      </c>
      <c r="D123" s="232" t="s">
        <v>1034</v>
      </c>
      <c r="E123" s="233"/>
      <c r="F123" s="233"/>
      <c r="G123" s="233"/>
      <c r="H123" s="233"/>
      <c r="I123" s="233"/>
      <c r="J123" s="233"/>
      <c r="K123" s="233"/>
      <c r="L123" s="233"/>
      <c r="M123" s="233"/>
      <c r="N123" s="57"/>
    </row>
    <row r="124" spans="1:63" ht="12.75">
      <c r="A124" s="4" t="s">
        <v>69</v>
      </c>
      <c r="B124" s="12" t="s">
        <v>273</v>
      </c>
      <c r="C124" s="53" t="s">
        <v>332</v>
      </c>
      <c r="D124" s="230" t="s">
        <v>614</v>
      </c>
      <c r="E124" s="231"/>
      <c r="F124" s="62" t="s">
        <v>850</v>
      </c>
      <c r="G124" s="104">
        <v>4</v>
      </c>
      <c r="H124" s="104"/>
      <c r="I124" s="16">
        <f>G124*AN124</f>
        <v>0</v>
      </c>
      <c r="J124" s="16">
        <f>G124*AO124</f>
        <v>0</v>
      </c>
      <c r="K124" s="126">
        <f>G124*H124</f>
        <v>0</v>
      </c>
      <c r="L124" s="16">
        <v>0.001</v>
      </c>
      <c r="M124" s="16">
        <f>G124*L124</f>
        <v>0.004</v>
      </c>
      <c r="N124" s="5"/>
      <c r="Y124" s="26">
        <f>IF(AP124="5",BI124,0)</f>
        <v>0</v>
      </c>
      <c r="AA124" s="26">
        <f>IF(AP124="1",BG124,0)</f>
        <v>0</v>
      </c>
      <c r="AB124" s="26">
        <f>IF(AP124="1",BH124,0)</f>
        <v>0</v>
      </c>
      <c r="AC124" s="26">
        <f>IF(AP124="7",BG124,0)</f>
        <v>0</v>
      </c>
      <c r="AD124" s="26">
        <f>IF(AP124="7",BH124,0)</f>
        <v>0</v>
      </c>
      <c r="AE124" s="26">
        <f>IF(AP124="2",BG124,0)</f>
        <v>0</v>
      </c>
      <c r="AF124" s="26">
        <f>IF(AP124="2",BH124,0)</f>
        <v>0</v>
      </c>
      <c r="AG124" s="26">
        <f>IF(AP124="0",BI124,0)</f>
        <v>0</v>
      </c>
      <c r="AH124" s="24" t="s">
        <v>273</v>
      </c>
      <c r="AI124" s="16">
        <f>IF(AM124=0,K124,0)</f>
        <v>0</v>
      </c>
      <c r="AJ124" s="16">
        <f>IF(AM124=15,K124,0)</f>
        <v>0</v>
      </c>
      <c r="AK124" s="16">
        <f>IF(AM124=21,K124,0)</f>
        <v>0</v>
      </c>
      <c r="AM124" s="26">
        <v>15</v>
      </c>
      <c r="AN124" s="26">
        <f>H124*0.777262162162162</f>
        <v>0</v>
      </c>
      <c r="AO124" s="26">
        <f>H124*(1-0.777262162162162)</f>
        <v>0</v>
      </c>
      <c r="AP124" s="27" t="s">
        <v>7</v>
      </c>
      <c r="AU124" s="26">
        <f>AV124+AW124</f>
        <v>0</v>
      </c>
      <c r="AV124" s="26">
        <f>G124*AN124</f>
        <v>0</v>
      </c>
      <c r="AW124" s="26">
        <f>G124*AO124</f>
        <v>0</v>
      </c>
      <c r="AX124" s="29" t="s">
        <v>889</v>
      </c>
      <c r="AY124" s="29" t="s">
        <v>924</v>
      </c>
      <c r="AZ124" s="24" t="s">
        <v>937</v>
      </c>
      <c r="BB124" s="26">
        <f>AV124+AW124</f>
        <v>0</v>
      </c>
      <c r="BC124" s="26">
        <f>H124/(100-BD124)*100</f>
        <v>0</v>
      </c>
      <c r="BD124" s="26">
        <v>0</v>
      </c>
      <c r="BE124" s="26">
        <f>M124</f>
        <v>0.004</v>
      </c>
      <c r="BG124" s="16">
        <f>G124*AN124</f>
        <v>0</v>
      </c>
      <c r="BH124" s="16">
        <f>G124*AO124</f>
        <v>0</v>
      </c>
      <c r="BI124" s="16">
        <f>G124*H124</f>
        <v>0</v>
      </c>
      <c r="BJ124" s="16" t="s">
        <v>945</v>
      </c>
      <c r="BK124" s="26">
        <v>64</v>
      </c>
    </row>
    <row r="125" spans="1:14" s="58" customFormat="1" ht="12.75" customHeight="1">
      <c r="A125" s="57"/>
      <c r="C125" s="59" t="s">
        <v>991</v>
      </c>
      <c r="D125" s="232" t="s">
        <v>1035</v>
      </c>
      <c r="E125" s="233"/>
      <c r="F125" s="233"/>
      <c r="G125" s="233"/>
      <c r="H125" s="233"/>
      <c r="I125" s="233"/>
      <c r="J125" s="233"/>
      <c r="K125" s="233"/>
      <c r="L125" s="233"/>
      <c r="M125" s="233"/>
      <c r="N125" s="57"/>
    </row>
    <row r="126" spans="1:46" ht="12.75">
      <c r="A126" s="3"/>
      <c r="B126" s="11" t="s">
        <v>273</v>
      </c>
      <c r="C126" s="52" t="s">
        <v>333</v>
      </c>
      <c r="D126" s="228" t="s">
        <v>615</v>
      </c>
      <c r="E126" s="229"/>
      <c r="F126" s="61" t="s">
        <v>6</v>
      </c>
      <c r="G126" s="61" t="s">
        <v>6</v>
      </c>
      <c r="H126" s="61" t="s">
        <v>6</v>
      </c>
      <c r="I126" s="31">
        <f>SUM(I127:I127)</f>
        <v>0</v>
      </c>
      <c r="J126" s="31">
        <f>SUM(J127:J127)</f>
        <v>0</v>
      </c>
      <c r="K126" s="128">
        <f>SUM(K127:K127)</f>
        <v>0</v>
      </c>
      <c r="L126" s="24"/>
      <c r="M126" s="31">
        <f>SUM(M127:M127)</f>
        <v>0.678392</v>
      </c>
      <c r="N126" s="5"/>
      <c r="AH126" s="24" t="s">
        <v>273</v>
      </c>
      <c r="AR126" s="31">
        <f>SUM(AI127:AI127)</f>
        <v>0</v>
      </c>
      <c r="AS126" s="31">
        <f>SUM(AJ127:AJ127)</f>
        <v>0</v>
      </c>
      <c r="AT126" s="31">
        <f>SUM(AK127:AK127)</f>
        <v>0</v>
      </c>
    </row>
    <row r="127" spans="1:63" ht="12.75">
      <c r="A127" s="4" t="s">
        <v>70</v>
      </c>
      <c r="B127" s="12" t="s">
        <v>273</v>
      </c>
      <c r="C127" s="53" t="s">
        <v>334</v>
      </c>
      <c r="D127" s="230" t="s">
        <v>616</v>
      </c>
      <c r="E127" s="231"/>
      <c r="F127" s="62" t="s">
        <v>847</v>
      </c>
      <c r="G127" s="104">
        <v>474.4</v>
      </c>
      <c r="H127" s="104"/>
      <c r="I127" s="16">
        <f>G127*AN127</f>
        <v>0</v>
      </c>
      <c r="J127" s="16">
        <f>G127*AO127</f>
        <v>0</v>
      </c>
      <c r="K127" s="126">
        <f>G127*H127</f>
        <v>0</v>
      </c>
      <c r="L127" s="16">
        <v>0.00143</v>
      </c>
      <c r="M127" s="16">
        <f>G127*L127</f>
        <v>0.678392</v>
      </c>
      <c r="N127" s="5"/>
      <c r="Y127" s="26">
        <f>IF(AP127="5",BI127,0)</f>
        <v>0</v>
      </c>
      <c r="AA127" s="26">
        <f>IF(AP127="1",BG127,0)</f>
        <v>0</v>
      </c>
      <c r="AB127" s="26">
        <f>IF(AP127="1",BH127,0)</f>
        <v>0</v>
      </c>
      <c r="AC127" s="26">
        <f>IF(AP127="7",BG127,0)</f>
        <v>0</v>
      </c>
      <c r="AD127" s="26">
        <f>IF(AP127="7",BH127,0)</f>
        <v>0</v>
      </c>
      <c r="AE127" s="26">
        <f>IF(AP127="2",BG127,0)</f>
        <v>0</v>
      </c>
      <c r="AF127" s="26">
        <f>IF(AP127="2",BH127,0)</f>
        <v>0</v>
      </c>
      <c r="AG127" s="26">
        <f>IF(AP127="0",BI127,0)</f>
        <v>0</v>
      </c>
      <c r="AH127" s="24" t="s">
        <v>273</v>
      </c>
      <c r="AI127" s="16">
        <f>IF(AM127=0,K127,0)</f>
        <v>0</v>
      </c>
      <c r="AJ127" s="16">
        <f>IF(AM127=15,K127,0)</f>
        <v>0</v>
      </c>
      <c r="AK127" s="16">
        <f>IF(AM127=21,K127,0)</f>
        <v>0</v>
      </c>
      <c r="AM127" s="26">
        <v>15</v>
      </c>
      <c r="AN127" s="26">
        <f>H127*0</f>
        <v>0</v>
      </c>
      <c r="AO127" s="26">
        <f>H127*(1-0)</f>
        <v>0</v>
      </c>
      <c r="AP127" s="27" t="s">
        <v>13</v>
      </c>
      <c r="AU127" s="26">
        <f>AV127+AW127</f>
        <v>0</v>
      </c>
      <c r="AV127" s="26">
        <f>G127*AN127</f>
        <v>0</v>
      </c>
      <c r="AW127" s="26">
        <f>G127*AO127</f>
        <v>0</v>
      </c>
      <c r="AX127" s="29" t="s">
        <v>890</v>
      </c>
      <c r="AY127" s="29" t="s">
        <v>925</v>
      </c>
      <c r="AZ127" s="24" t="s">
        <v>937</v>
      </c>
      <c r="BB127" s="26">
        <f>AV127+AW127</f>
        <v>0</v>
      </c>
      <c r="BC127" s="26">
        <f>H127/(100-BD127)*100</f>
        <v>0</v>
      </c>
      <c r="BD127" s="26">
        <v>0</v>
      </c>
      <c r="BE127" s="26">
        <f>M127</f>
        <v>0.678392</v>
      </c>
      <c r="BG127" s="16">
        <f>G127*AN127</f>
        <v>0</v>
      </c>
      <c r="BH127" s="16">
        <f>G127*AO127</f>
        <v>0</v>
      </c>
      <c r="BI127" s="16">
        <f>G127*H127</f>
        <v>0</v>
      </c>
      <c r="BJ127" s="16" t="s">
        <v>945</v>
      </c>
      <c r="BK127" s="26">
        <v>711</v>
      </c>
    </row>
    <row r="128" spans="1:63" ht="12.75">
      <c r="A128" s="4"/>
      <c r="B128" s="12"/>
      <c r="C128" s="59" t="s">
        <v>991</v>
      </c>
      <c r="D128" s="232" t="s">
        <v>1036</v>
      </c>
      <c r="E128" s="233"/>
      <c r="F128" s="233"/>
      <c r="G128" s="233"/>
      <c r="H128" s="233"/>
      <c r="I128" s="233"/>
      <c r="J128" s="233"/>
      <c r="K128" s="233"/>
      <c r="L128" s="233"/>
      <c r="M128" s="233"/>
      <c r="N128" s="5"/>
      <c r="Y128" s="26"/>
      <c r="AA128" s="26"/>
      <c r="AB128" s="26"/>
      <c r="AC128" s="26"/>
      <c r="AD128" s="26"/>
      <c r="AE128" s="26"/>
      <c r="AF128" s="26"/>
      <c r="AG128" s="26"/>
      <c r="AH128" s="24"/>
      <c r="AI128" s="16"/>
      <c r="AJ128" s="16"/>
      <c r="AK128" s="16"/>
      <c r="AM128" s="26"/>
      <c r="AN128" s="26"/>
      <c r="AO128" s="26"/>
      <c r="AP128" s="27"/>
      <c r="AU128" s="26"/>
      <c r="AV128" s="26"/>
      <c r="AW128" s="26"/>
      <c r="AX128" s="29"/>
      <c r="AY128" s="29"/>
      <c r="AZ128" s="24"/>
      <c r="BB128" s="26"/>
      <c r="BC128" s="26"/>
      <c r="BD128" s="26"/>
      <c r="BE128" s="26"/>
      <c r="BG128" s="16"/>
      <c r="BH128" s="16"/>
      <c r="BI128" s="16"/>
      <c r="BJ128" s="16"/>
      <c r="BK128" s="26"/>
    </row>
    <row r="129" spans="1:46" ht="12.75">
      <c r="A129" s="3"/>
      <c r="B129" s="11" t="s">
        <v>273</v>
      </c>
      <c r="C129" s="52" t="s">
        <v>335</v>
      </c>
      <c r="D129" s="228" t="s">
        <v>617</v>
      </c>
      <c r="E129" s="229"/>
      <c r="F129" s="61" t="s">
        <v>6</v>
      </c>
      <c r="G129" s="61" t="s">
        <v>6</v>
      </c>
      <c r="H129" s="61" t="s">
        <v>6</v>
      </c>
      <c r="I129" s="31">
        <f>SUM(I130:I134)</f>
        <v>0</v>
      </c>
      <c r="J129" s="31">
        <f>SUM(J130:J134)</f>
        <v>0</v>
      </c>
      <c r="K129" s="128">
        <f>SUM(K130:K134)</f>
        <v>0</v>
      </c>
      <c r="L129" s="24"/>
      <c r="M129" s="31">
        <f>SUM(M130:M134)</f>
        <v>0.00964689</v>
      </c>
      <c r="N129" s="5"/>
      <c r="AH129" s="24" t="s">
        <v>273</v>
      </c>
      <c r="AR129" s="31">
        <f>SUM(AI130:AI134)</f>
        <v>0</v>
      </c>
      <c r="AS129" s="31">
        <f>SUM(AJ130:AJ134)</f>
        <v>0</v>
      </c>
      <c r="AT129" s="31">
        <f>SUM(AK130:AK134)</f>
        <v>0</v>
      </c>
    </row>
    <row r="130" spans="1:63" ht="12.75">
      <c r="A130" s="4" t="s">
        <v>71</v>
      </c>
      <c r="B130" s="12" t="s">
        <v>273</v>
      </c>
      <c r="C130" s="53" t="s">
        <v>1037</v>
      </c>
      <c r="D130" s="230" t="s">
        <v>618</v>
      </c>
      <c r="E130" s="231"/>
      <c r="F130" s="62" t="s">
        <v>847</v>
      </c>
      <c r="G130" s="104">
        <v>26.06</v>
      </c>
      <c r="H130" s="104"/>
      <c r="I130" s="16">
        <f>G130*AN130</f>
        <v>0</v>
      </c>
      <c r="J130" s="16">
        <f>G130*AO130</f>
        <v>0</v>
      </c>
      <c r="K130" s="126">
        <f>G130*H130</f>
        <v>0</v>
      </c>
      <c r="L130" s="16">
        <v>0</v>
      </c>
      <c r="M130" s="16">
        <f>G130*L130</f>
        <v>0</v>
      </c>
      <c r="N130" s="5"/>
      <c r="Y130" s="26">
        <f>IF(AP130="5",BI130,0)</f>
        <v>0</v>
      </c>
      <c r="AA130" s="26">
        <f>IF(AP130="1",BG130,0)</f>
        <v>0</v>
      </c>
      <c r="AB130" s="26">
        <f>IF(AP130="1",BH130,0)</f>
        <v>0</v>
      </c>
      <c r="AC130" s="26">
        <f>IF(AP130="7",BG130,0)</f>
        <v>0</v>
      </c>
      <c r="AD130" s="26">
        <f>IF(AP130="7",BH130,0)</f>
        <v>0</v>
      </c>
      <c r="AE130" s="26">
        <f>IF(AP130="2",BG130,0)</f>
        <v>0</v>
      </c>
      <c r="AF130" s="26">
        <f>IF(AP130="2",BH130,0)</f>
        <v>0</v>
      </c>
      <c r="AG130" s="26">
        <f>IF(AP130="0",BI130,0)</f>
        <v>0</v>
      </c>
      <c r="AH130" s="24" t="s">
        <v>273</v>
      </c>
      <c r="AI130" s="16">
        <f>IF(AM130=0,K130,0)</f>
        <v>0</v>
      </c>
      <c r="AJ130" s="16">
        <f>IF(AM130=15,K130,0)</f>
        <v>0</v>
      </c>
      <c r="AK130" s="16">
        <f>IF(AM130=21,K130,0)</f>
        <v>0</v>
      </c>
      <c r="AM130" s="26">
        <v>15</v>
      </c>
      <c r="AN130" s="26">
        <f>H130*0</f>
        <v>0</v>
      </c>
      <c r="AO130" s="26">
        <f>H130*(1-0)</f>
        <v>0</v>
      </c>
      <c r="AP130" s="27" t="s">
        <v>13</v>
      </c>
      <c r="AU130" s="26">
        <f>AV130+AW130</f>
        <v>0</v>
      </c>
      <c r="AV130" s="26">
        <f>G130*AN130</f>
        <v>0</v>
      </c>
      <c r="AW130" s="26">
        <f>G130*AO130</f>
        <v>0</v>
      </c>
      <c r="AX130" s="29" t="s">
        <v>891</v>
      </c>
      <c r="AY130" s="29" t="s">
        <v>925</v>
      </c>
      <c r="AZ130" s="24" t="s">
        <v>937</v>
      </c>
      <c r="BB130" s="26">
        <f>AV130+AW130</f>
        <v>0</v>
      </c>
      <c r="BC130" s="26">
        <f>H130/(100-BD130)*100</f>
        <v>0</v>
      </c>
      <c r="BD130" s="26">
        <v>0</v>
      </c>
      <c r="BE130" s="26">
        <f>M130</f>
        <v>0</v>
      </c>
      <c r="BG130" s="16">
        <f>G130*AN130</f>
        <v>0</v>
      </c>
      <c r="BH130" s="16">
        <f>G130*AO130</f>
        <v>0</v>
      </c>
      <c r="BI130" s="16">
        <f>G130*H130</f>
        <v>0</v>
      </c>
      <c r="BJ130" s="16" t="s">
        <v>945</v>
      </c>
      <c r="BK130" s="26">
        <v>712</v>
      </c>
    </row>
    <row r="131" spans="1:14" s="58" customFormat="1" ht="12.75">
      <c r="A131" s="57"/>
      <c r="C131" s="59" t="s">
        <v>991</v>
      </c>
      <c r="D131" s="232" t="s">
        <v>1140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57"/>
    </row>
    <row r="132" spans="1:63" ht="12.75">
      <c r="A132" s="4" t="s">
        <v>72</v>
      </c>
      <c r="B132" s="12" t="s">
        <v>273</v>
      </c>
      <c r="C132" s="53" t="s">
        <v>336</v>
      </c>
      <c r="D132" s="236" t="s">
        <v>619</v>
      </c>
      <c r="E132" s="237"/>
      <c r="F132" s="62" t="s">
        <v>847</v>
      </c>
      <c r="G132" s="104">
        <v>23.529</v>
      </c>
      <c r="H132" s="104"/>
      <c r="I132" s="16">
        <f>G132*AN132</f>
        <v>0</v>
      </c>
      <c r="J132" s="16">
        <f>G132*AO132</f>
        <v>0</v>
      </c>
      <c r="K132" s="126">
        <f>G132*H132</f>
        <v>0</v>
      </c>
      <c r="L132" s="16">
        <v>0.00041</v>
      </c>
      <c r="M132" s="16">
        <f>G132*L132</f>
        <v>0.00964689</v>
      </c>
      <c r="N132" s="5"/>
      <c r="Y132" s="26">
        <f>IF(AP132="5",BI132,0)</f>
        <v>0</v>
      </c>
      <c r="AA132" s="26">
        <f>IF(AP132="1",BG132,0)</f>
        <v>0</v>
      </c>
      <c r="AB132" s="26">
        <f>IF(AP132="1",BH132,0)</f>
        <v>0</v>
      </c>
      <c r="AC132" s="26">
        <f>IF(AP132="7",BG132,0)</f>
        <v>0</v>
      </c>
      <c r="AD132" s="26">
        <f>IF(AP132="7",BH132,0)</f>
        <v>0</v>
      </c>
      <c r="AE132" s="26">
        <f>IF(AP132="2",BG132,0)</f>
        <v>0</v>
      </c>
      <c r="AF132" s="26">
        <f>IF(AP132="2",BH132,0)</f>
        <v>0</v>
      </c>
      <c r="AG132" s="26">
        <f>IF(AP132="0",BI132,0)</f>
        <v>0</v>
      </c>
      <c r="AH132" s="24" t="s">
        <v>273</v>
      </c>
      <c r="AI132" s="16">
        <f>IF(AM132=0,K132,0)</f>
        <v>0</v>
      </c>
      <c r="AJ132" s="16">
        <f>IF(AM132=15,K132,0)</f>
        <v>0</v>
      </c>
      <c r="AK132" s="16">
        <f>IF(AM132=21,K132,0)</f>
        <v>0</v>
      </c>
      <c r="AM132" s="26">
        <v>15</v>
      </c>
      <c r="AN132" s="26">
        <f>H132*0.217773254384326</f>
        <v>0</v>
      </c>
      <c r="AO132" s="26">
        <f>H132*(1-0.217773254384326)</f>
        <v>0</v>
      </c>
      <c r="AP132" s="27" t="s">
        <v>13</v>
      </c>
      <c r="AU132" s="26">
        <f>AV132+AW132</f>
        <v>0</v>
      </c>
      <c r="AV132" s="26">
        <f>G132*AN132</f>
        <v>0</v>
      </c>
      <c r="AW132" s="26">
        <f>G132*AO132</f>
        <v>0</v>
      </c>
      <c r="AX132" s="29" t="s">
        <v>891</v>
      </c>
      <c r="AY132" s="29" t="s">
        <v>925</v>
      </c>
      <c r="AZ132" s="24" t="s">
        <v>937</v>
      </c>
      <c r="BB132" s="26">
        <f>AV132+AW132</f>
        <v>0</v>
      </c>
      <c r="BC132" s="26">
        <f>H132/(100-BD132)*100</f>
        <v>0</v>
      </c>
      <c r="BD132" s="26">
        <v>0</v>
      </c>
      <c r="BE132" s="26">
        <f>M132</f>
        <v>0.00964689</v>
      </c>
      <c r="BG132" s="16">
        <f>G132*AN132</f>
        <v>0</v>
      </c>
      <c r="BH132" s="16">
        <f>G132*AO132</f>
        <v>0</v>
      </c>
      <c r="BI132" s="16">
        <f>G132*H132</f>
        <v>0</v>
      </c>
      <c r="BJ132" s="16" t="s">
        <v>945</v>
      </c>
      <c r="BK132" s="26">
        <v>712</v>
      </c>
    </row>
    <row r="133" spans="1:14" s="58" customFormat="1" ht="12.75" customHeight="1">
      <c r="A133" s="57"/>
      <c r="C133" s="59" t="s">
        <v>991</v>
      </c>
      <c r="D133" s="232" t="s">
        <v>1138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57"/>
    </row>
    <row r="134" spans="1:63" ht="12.75">
      <c r="A134" s="4" t="s">
        <v>73</v>
      </c>
      <c r="B134" s="12" t="s">
        <v>273</v>
      </c>
      <c r="C134" s="53" t="s">
        <v>337</v>
      </c>
      <c r="D134" s="230" t="s">
        <v>620</v>
      </c>
      <c r="E134" s="231"/>
      <c r="F134" s="62" t="s">
        <v>847</v>
      </c>
      <c r="G134" s="104">
        <v>25.6632</v>
      </c>
      <c r="H134" s="104"/>
      <c r="I134" s="16">
        <f>G134*AN134</f>
        <v>0</v>
      </c>
      <c r="J134" s="16">
        <f>G134*AO134</f>
        <v>0</v>
      </c>
      <c r="K134" s="126">
        <f>G134*H134</f>
        <v>0</v>
      </c>
      <c r="L134" s="16">
        <v>0</v>
      </c>
      <c r="M134" s="16">
        <f>G134*L134</f>
        <v>0</v>
      </c>
      <c r="N134" s="5"/>
      <c r="Y134" s="26">
        <f>IF(AP134="5",BI134,0)</f>
        <v>0</v>
      </c>
      <c r="AA134" s="26">
        <f>IF(AP134="1",BG134,0)</f>
        <v>0</v>
      </c>
      <c r="AB134" s="26">
        <f>IF(AP134="1",BH134,0)</f>
        <v>0</v>
      </c>
      <c r="AC134" s="26">
        <f>IF(AP134="7",BG134,0)</f>
        <v>0</v>
      </c>
      <c r="AD134" s="26">
        <f>IF(AP134="7",BH134,0)</f>
        <v>0</v>
      </c>
      <c r="AE134" s="26">
        <f>IF(AP134="2",BG134,0)</f>
        <v>0</v>
      </c>
      <c r="AF134" s="26">
        <f>IF(AP134="2",BH134,0)</f>
        <v>0</v>
      </c>
      <c r="AG134" s="26">
        <f>IF(AP134="0",BI134,0)</f>
        <v>0</v>
      </c>
      <c r="AH134" s="24" t="s">
        <v>273</v>
      </c>
      <c r="AI134" s="16">
        <f>IF(AM134=0,K134,0)</f>
        <v>0</v>
      </c>
      <c r="AJ134" s="16">
        <f>IF(AM134=15,K134,0)</f>
        <v>0</v>
      </c>
      <c r="AK134" s="16">
        <f>IF(AM134=21,K134,0)</f>
        <v>0</v>
      </c>
      <c r="AM134" s="26">
        <v>15</v>
      </c>
      <c r="AN134" s="26">
        <f>H134*0</f>
        <v>0</v>
      </c>
      <c r="AO134" s="26">
        <f>H134*(1-0)</f>
        <v>0</v>
      </c>
      <c r="AP134" s="27" t="s">
        <v>13</v>
      </c>
      <c r="AU134" s="26">
        <f>AV134+AW134</f>
        <v>0</v>
      </c>
      <c r="AV134" s="26">
        <f>G134*AN134</f>
        <v>0</v>
      </c>
      <c r="AW134" s="26">
        <f>G134*AO134</f>
        <v>0</v>
      </c>
      <c r="AX134" s="29" t="s">
        <v>891</v>
      </c>
      <c r="AY134" s="29" t="s">
        <v>925</v>
      </c>
      <c r="AZ134" s="24" t="s">
        <v>937</v>
      </c>
      <c r="BB134" s="26">
        <f>AV134+AW134</f>
        <v>0</v>
      </c>
      <c r="BC134" s="26">
        <f>H134/(100-BD134)*100</f>
        <v>0</v>
      </c>
      <c r="BD134" s="26">
        <v>0</v>
      </c>
      <c r="BE134" s="26">
        <f>M134</f>
        <v>0</v>
      </c>
      <c r="BG134" s="16">
        <f>G134*AN134</f>
        <v>0</v>
      </c>
      <c r="BH134" s="16">
        <f>G134*AO134</f>
        <v>0</v>
      </c>
      <c r="BI134" s="16">
        <f>G134*H134</f>
        <v>0</v>
      </c>
      <c r="BJ134" s="16" t="s">
        <v>945</v>
      </c>
      <c r="BK134" s="26">
        <v>712</v>
      </c>
    </row>
    <row r="135" spans="1:14" s="58" customFormat="1" ht="12.75">
      <c r="A135" s="57"/>
      <c r="C135" s="59" t="s">
        <v>991</v>
      </c>
      <c r="D135" s="232" t="s">
        <v>1139</v>
      </c>
      <c r="E135" s="233"/>
      <c r="F135" s="233"/>
      <c r="G135" s="233"/>
      <c r="H135" s="233"/>
      <c r="I135" s="233"/>
      <c r="J135" s="233"/>
      <c r="K135" s="233"/>
      <c r="L135" s="233"/>
      <c r="M135" s="233"/>
      <c r="N135" s="57"/>
    </row>
    <row r="136" spans="1:46" ht="12.75">
      <c r="A136" s="3"/>
      <c r="B136" s="11" t="s">
        <v>273</v>
      </c>
      <c r="C136" s="52" t="s">
        <v>338</v>
      </c>
      <c r="D136" s="228" t="s">
        <v>621</v>
      </c>
      <c r="E136" s="229"/>
      <c r="F136" s="61" t="s">
        <v>6</v>
      </c>
      <c r="G136" s="61" t="s">
        <v>6</v>
      </c>
      <c r="H136" s="61" t="s">
        <v>6</v>
      </c>
      <c r="I136" s="31">
        <f>SUM(I137:I153)</f>
        <v>0</v>
      </c>
      <c r="J136" s="31">
        <f>SUM(J137:J153)</f>
        <v>0</v>
      </c>
      <c r="K136" s="128">
        <f>SUM(K137:K153)</f>
        <v>0</v>
      </c>
      <c r="L136" s="24"/>
      <c r="M136" s="31">
        <f>SUM(M137:M153)</f>
        <v>10.888420150000002</v>
      </c>
      <c r="N136" s="5"/>
      <c r="AH136" s="24" t="s">
        <v>273</v>
      </c>
      <c r="AR136" s="31">
        <f>SUM(AI137:AI153)</f>
        <v>0</v>
      </c>
      <c r="AS136" s="31">
        <f>SUM(AJ137:AJ153)</f>
        <v>0</v>
      </c>
      <c r="AT136" s="31">
        <f>SUM(AK137:AK153)</f>
        <v>0</v>
      </c>
    </row>
    <row r="137" spans="1:63" ht="12.75">
      <c r="A137" s="4" t="s">
        <v>74</v>
      </c>
      <c r="B137" s="12" t="s">
        <v>273</v>
      </c>
      <c r="C137" s="53" t="s">
        <v>339</v>
      </c>
      <c r="D137" s="230" t="s">
        <v>622</v>
      </c>
      <c r="E137" s="231"/>
      <c r="F137" s="62" t="s">
        <v>848</v>
      </c>
      <c r="G137" s="104">
        <v>180.0136</v>
      </c>
      <c r="H137" s="104"/>
      <c r="I137" s="16">
        <f>G137*AN137</f>
        <v>0</v>
      </c>
      <c r="J137" s="16">
        <f>G137*AO137</f>
        <v>0</v>
      </c>
      <c r="K137" s="126">
        <f>G137*H137</f>
        <v>0</v>
      </c>
      <c r="L137" s="16">
        <v>0.05775</v>
      </c>
      <c r="M137" s="16">
        <f>G137*L137</f>
        <v>10.395785400000001</v>
      </c>
      <c r="N137" s="5"/>
      <c r="Y137" s="26">
        <f>IF(AP137="5",BI137,0)</f>
        <v>0</v>
      </c>
      <c r="AA137" s="26">
        <f>IF(AP137="1",BG137,0)</f>
        <v>0</v>
      </c>
      <c r="AB137" s="26">
        <f>IF(AP137="1",BH137,0)</f>
        <v>0</v>
      </c>
      <c r="AC137" s="26">
        <f>IF(AP137="7",BG137,0)</f>
        <v>0</v>
      </c>
      <c r="AD137" s="26">
        <f>IF(AP137="7",BH137,0)</f>
        <v>0</v>
      </c>
      <c r="AE137" s="26">
        <f>IF(AP137="2",BG137,0)</f>
        <v>0</v>
      </c>
      <c r="AF137" s="26">
        <f>IF(AP137="2",BH137,0)</f>
        <v>0</v>
      </c>
      <c r="AG137" s="26">
        <f>IF(AP137="0",BI137,0)</f>
        <v>0</v>
      </c>
      <c r="AH137" s="24" t="s">
        <v>273</v>
      </c>
      <c r="AI137" s="16">
        <f>IF(AM137=0,K137,0)</f>
        <v>0</v>
      </c>
      <c r="AJ137" s="16">
        <f>IF(AM137=15,K137,0)</f>
        <v>0</v>
      </c>
      <c r="AK137" s="16">
        <f>IF(AM137=21,K137,0)</f>
        <v>0</v>
      </c>
      <c r="AM137" s="26">
        <v>15</v>
      </c>
      <c r="AN137" s="26">
        <f>H137*0.726344411056999</f>
        <v>0</v>
      </c>
      <c r="AO137" s="26">
        <f>H137*(1-0.726344411056999)</f>
        <v>0</v>
      </c>
      <c r="AP137" s="27" t="s">
        <v>13</v>
      </c>
      <c r="AU137" s="26">
        <f>AV137+AW137</f>
        <v>0</v>
      </c>
      <c r="AV137" s="26">
        <f>G137*AN137</f>
        <v>0</v>
      </c>
      <c r="AW137" s="26">
        <f>G137*AO137</f>
        <v>0</v>
      </c>
      <c r="AX137" s="29" t="s">
        <v>892</v>
      </c>
      <c r="AY137" s="29" t="s">
        <v>925</v>
      </c>
      <c r="AZ137" s="24" t="s">
        <v>937</v>
      </c>
      <c r="BB137" s="26">
        <f>AV137+AW137</f>
        <v>0</v>
      </c>
      <c r="BC137" s="26">
        <f>H137/(100-BD137)*100</f>
        <v>0</v>
      </c>
      <c r="BD137" s="26">
        <v>0</v>
      </c>
      <c r="BE137" s="26">
        <f>M137</f>
        <v>10.395785400000001</v>
      </c>
      <c r="BG137" s="16">
        <f>G137*AN137</f>
        <v>0</v>
      </c>
      <c r="BH137" s="16">
        <f>G137*AO137</f>
        <v>0</v>
      </c>
      <c r="BI137" s="16">
        <f>G137*H137</f>
        <v>0</v>
      </c>
      <c r="BJ137" s="16" t="s">
        <v>945</v>
      </c>
      <c r="BK137" s="26">
        <v>713</v>
      </c>
    </row>
    <row r="138" spans="1:14" s="58" customFormat="1" ht="12.75">
      <c r="A138" s="57"/>
      <c r="C138" s="59" t="s">
        <v>991</v>
      </c>
      <c r="D138" s="232" t="s">
        <v>1038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57"/>
    </row>
    <row r="139" spans="1:63" ht="12.75">
      <c r="A139" s="4" t="s">
        <v>75</v>
      </c>
      <c r="B139" s="12" t="s">
        <v>273</v>
      </c>
      <c r="C139" s="53" t="s">
        <v>340</v>
      </c>
      <c r="D139" s="230" t="s">
        <v>623</v>
      </c>
      <c r="E139" s="231"/>
      <c r="F139" s="62" t="s">
        <v>847</v>
      </c>
      <c r="G139" s="104">
        <v>111.5</v>
      </c>
      <c r="H139" s="104"/>
      <c r="I139" s="16">
        <f>G139*AN139</f>
        <v>0</v>
      </c>
      <c r="J139" s="16">
        <f>G139*AO139</f>
        <v>0</v>
      </c>
      <c r="K139" s="126">
        <f>G139*H139</f>
        <v>0</v>
      </c>
      <c r="L139" s="16">
        <v>0</v>
      </c>
      <c r="M139" s="16">
        <f>G139*L139</f>
        <v>0</v>
      </c>
      <c r="N139" s="5"/>
      <c r="Y139" s="26">
        <f>IF(AP139="5",BI139,0)</f>
        <v>0</v>
      </c>
      <c r="AA139" s="26">
        <f>IF(AP139="1",BG139,0)</f>
        <v>0</v>
      </c>
      <c r="AB139" s="26">
        <f>IF(AP139="1",BH139,0)</f>
        <v>0</v>
      </c>
      <c r="AC139" s="26">
        <f>IF(AP139="7",BG139,0)</f>
        <v>0</v>
      </c>
      <c r="AD139" s="26">
        <f>IF(AP139="7",BH139,0)</f>
        <v>0</v>
      </c>
      <c r="AE139" s="26">
        <f>IF(AP139="2",BG139,0)</f>
        <v>0</v>
      </c>
      <c r="AF139" s="26">
        <f>IF(AP139="2",BH139,0)</f>
        <v>0</v>
      </c>
      <c r="AG139" s="26">
        <f>IF(AP139="0",BI139,0)</f>
        <v>0</v>
      </c>
      <c r="AH139" s="24" t="s">
        <v>273</v>
      </c>
      <c r="AI139" s="16">
        <f>IF(AM139=0,K139,0)</f>
        <v>0</v>
      </c>
      <c r="AJ139" s="16">
        <f>IF(AM139=15,K139,0)</f>
        <v>0</v>
      </c>
      <c r="AK139" s="16">
        <f>IF(AM139=21,K139,0)</f>
        <v>0</v>
      </c>
      <c r="AM139" s="26">
        <v>15</v>
      </c>
      <c r="AN139" s="26">
        <f>H139*0</f>
        <v>0</v>
      </c>
      <c r="AO139" s="26">
        <f>H139*(1-0)</f>
        <v>0</v>
      </c>
      <c r="AP139" s="27" t="s">
        <v>13</v>
      </c>
      <c r="AU139" s="26">
        <f>AV139+AW139</f>
        <v>0</v>
      </c>
      <c r="AV139" s="26">
        <f>G139*AN139</f>
        <v>0</v>
      </c>
      <c r="AW139" s="26">
        <f>G139*AO139</f>
        <v>0</v>
      </c>
      <c r="AX139" s="29" t="s">
        <v>892</v>
      </c>
      <c r="AY139" s="29" t="s">
        <v>925</v>
      </c>
      <c r="AZ139" s="24" t="s">
        <v>937</v>
      </c>
      <c r="BB139" s="26">
        <f>AV139+AW139</f>
        <v>0</v>
      </c>
      <c r="BC139" s="26">
        <f>H139/(100-BD139)*100</f>
        <v>0</v>
      </c>
      <c r="BD139" s="26">
        <v>0</v>
      </c>
      <c r="BE139" s="26">
        <f>M139</f>
        <v>0</v>
      </c>
      <c r="BG139" s="16">
        <f>G139*AN139</f>
        <v>0</v>
      </c>
      <c r="BH139" s="16">
        <f>G139*AO139</f>
        <v>0</v>
      </c>
      <c r="BI139" s="16">
        <f>G139*H139</f>
        <v>0</v>
      </c>
      <c r="BJ139" s="16" t="s">
        <v>945</v>
      </c>
      <c r="BK139" s="26">
        <v>713</v>
      </c>
    </row>
    <row r="140" spans="1:14" s="58" customFormat="1" ht="12.75">
      <c r="A140" s="57"/>
      <c r="C140" s="59" t="s">
        <v>991</v>
      </c>
      <c r="D140" s="232" t="s">
        <v>1039</v>
      </c>
      <c r="E140" s="233"/>
      <c r="F140" s="233"/>
      <c r="G140" s="233"/>
      <c r="H140" s="233"/>
      <c r="I140" s="233"/>
      <c r="J140" s="233"/>
      <c r="K140" s="233"/>
      <c r="L140" s="233"/>
      <c r="M140" s="233"/>
      <c r="N140" s="57"/>
    </row>
    <row r="141" spans="1:63" ht="12.75">
      <c r="A141" s="4" t="s">
        <v>76</v>
      </c>
      <c r="B141" s="12" t="s">
        <v>273</v>
      </c>
      <c r="C141" s="53" t="s">
        <v>341</v>
      </c>
      <c r="D141" s="230" t="s">
        <v>624</v>
      </c>
      <c r="E141" s="231"/>
      <c r="F141" s="62" t="s">
        <v>847</v>
      </c>
      <c r="G141" s="104">
        <v>28.56</v>
      </c>
      <c r="H141" s="104"/>
      <c r="I141" s="16">
        <f>G141*AN141</f>
        <v>0</v>
      </c>
      <c r="J141" s="16">
        <f>G141*AO141</f>
        <v>0</v>
      </c>
      <c r="K141" s="126">
        <f>G141*H141</f>
        <v>0</v>
      </c>
      <c r="L141" s="16">
        <v>0.0002</v>
      </c>
      <c r="M141" s="16">
        <f>G141*L141</f>
        <v>0.005712</v>
      </c>
      <c r="N141" s="5"/>
      <c r="Y141" s="26">
        <f>IF(AP141="5",BI141,0)</f>
        <v>0</v>
      </c>
      <c r="AA141" s="26">
        <f>IF(AP141="1",BG141,0)</f>
        <v>0</v>
      </c>
      <c r="AB141" s="26">
        <f>IF(AP141="1",BH141,0)</f>
        <v>0</v>
      </c>
      <c r="AC141" s="26">
        <f>IF(AP141="7",BG141,0)</f>
        <v>0</v>
      </c>
      <c r="AD141" s="26">
        <f>IF(AP141="7",BH141,0)</f>
        <v>0</v>
      </c>
      <c r="AE141" s="26">
        <f>IF(AP141="2",BG141,0)</f>
        <v>0</v>
      </c>
      <c r="AF141" s="26">
        <f>IF(AP141="2",BH141,0)</f>
        <v>0</v>
      </c>
      <c r="AG141" s="26">
        <f>IF(AP141="0",BI141,0)</f>
        <v>0</v>
      </c>
      <c r="AH141" s="24" t="s">
        <v>273</v>
      </c>
      <c r="AI141" s="16">
        <f>IF(AM141=0,K141,0)</f>
        <v>0</v>
      </c>
      <c r="AJ141" s="16">
        <f>IF(AM141=15,K141,0)</f>
        <v>0</v>
      </c>
      <c r="AK141" s="16">
        <f>IF(AM141=21,K141,0)</f>
        <v>0</v>
      </c>
      <c r="AM141" s="26">
        <v>15</v>
      </c>
      <c r="AN141" s="26">
        <f>H141*0.572700360534869</f>
        <v>0</v>
      </c>
      <c r="AO141" s="26">
        <f>H141*(1-0.572700360534869)</f>
        <v>0</v>
      </c>
      <c r="AP141" s="27" t="s">
        <v>13</v>
      </c>
      <c r="AU141" s="26">
        <f>AV141+AW141</f>
        <v>0</v>
      </c>
      <c r="AV141" s="26">
        <f>G141*AN141</f>
        <v>0</v>
      </c>
      <c r="AW141" s="26">
        <f>G141*AO141</f>
        <v>0</v>
      </c>
      <c r="AX141" s="29" t="s">
        <v>892</v>
      </c>
      <c r="AY141" s="29" t="s">
        <v>925</v>
      </c>
      <c r="AZ141" s="24" t="s">
        <v>937</v>
      </c>
      <c r="BB141" s="26">
        <f>AV141+AW141</f>
        <v>0</v>
      </c>
      <c r="BC141" s="26">
        <f>H141/(100-BD141)*100</f>
        <v>0</v>
      </c>
      <c r="BD141" s="26">
        <v>0</v>
      </c>
      <c r="BE141" s="26">
        <f>M141</f>
        <v>0.005712</v>
      </c>
      <c r="BG141" s="16">
        <f>G141*AN141</f>
        <v>0</v>
      </c>
      <c r="BH141" s="16">
        <f>G141*AO141</f>
        <v>0</v>
      </c>
      <c r="BI141" s="16">
        <f>G141*H141</f>
        <v>0</v>
      </c>
      <c r="BJ141" s="16" t="s">
        <v>945</v>
      </c>
      <c r="BK141" s="26">
        <v>713</v>
      </c>
    </row>
    <row r="142" spans="1:14" s="58" customFormat="1" ht="12.75">
      <c r="A142" s="57"/>
      <c r="C142" s="59" t="s">
        <v>991</v>
      </c>
      <c r="D142" s="232" t="s">
        <v>1040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57"/>
    </row>
    <row r="143" spans="1:63" ht="12.75">
      <c r="A143" s="4" t="s">
        <v>77</v>
      </c>
      <c r="B143" s="12" t="s">
        <v>273</v>
      </c>
      <c r="C143" s="53" t="s">
        <v>342</v>
      </c>
      <c r="D143" s="230" t="s">
        <v>625</v>
      </c>
      <c r="E143" s="231"/>
      <c r="F143" s="62" t="s">
        <v>847</v>
      </c>
      <c r="G143" s="104">
        <v>38.825</v>
      </c>
      <c r="H143" s="104"/>
      <c r="I143" s="16">
        <f>G143*AN143</f>
        <v>0</v>
      </c>
      <c r="J143" s="16">
        <f>G143*AO143</f>
        <v>0</v>
      </c>
      <c r="K143" s="126">
        <f>G143*H143</f>
        <v>0</v>
      </c>
      <c r="L143" s="16">
        <v>0.00083</v>
      </c>
      <c r="M143" s="16">
        <f>G143*L143</f>
        <v>0.03222475</v>
      </c>
      <c r="N143" s="5"/>
      <c r="Y143" s="26">
        <f>IF(AP143="5",BI143,0)</f>
        <v>0</v>
      </c>
      <c r="AA143" s="26">
        <f>IF(AP143="1",BG143,0)</f>
        <v>0</v>
      </c>
      <c r="AB143" s="26">
        <f>IF(AP143="1",BH143,0)</f>
        <v>0</v>
      </c>
      <c r="AC143" s="26">
        <f>IF(AP143="7",BG143,0)</f>
        <v>0</v>
      </c>
      <c r="AD143" s="26">
        <f>IF(AP143="7",BH143,0)</f>
        <v>0</v>
      </c>
      <c r="AE143" s="26">
        <f>IF(AP143="2",BG143,0)</f>
        <v>0</v>
      </c>
      <c r="AF143" s="26">
        <f>IF(AP143="2",BH143,0)</f>
        <v>0</v>
      </c>
      <c r="AG143" s="26">
        <f>IF(AP143="0",BI143,0)</f>
        <v>0</v>
      </c>
      <c r="AH143" s="24" t="s">
        <v>273</v>
      </c>
      <c r="AI143" s="16">
        <f>IF(AM143=0,K143,0)</f>
        <v>0</v>
      </c>
      <c r="AJ143" s="16">
        <f>IF(AM143=15,K143,0)</f>
        <v>0</v>
      </c>
      <c r="AK143" s="16">
        <f>IF(AM143=21,K143,0)</f>
        <v>0</v>
      </c>
      <c r="AM143" s="26">
        <v>15</v>
      </c>
      <c r="AN143" s="26">
        <f>H143*0.398867381898721</f>
        <v>0</v>
      </c>
      <c r="AO143" s="26">
        <f>H143*(1-0.398867381898721)</f>
        <v>0</v>
      </c>
      <c r="AP143" s="27" t="s">
        <v>13</v>
      </c>
      <c r="AU143" s="26">
        <f>AV143+AW143</f>
        <v>0</v>
      </c>
      <c r="AV143" s="26">
        <f>G143*AN143</f>
        <v>0</v>
      </c>
      <c r="AW143" s="26">
        <f>G143*AO143</f>
        <v>0</v>
      </c>
      <c r="AX143" s="29" t="s">
        <v>892</v>
      </c>
      <c r="AY143" s="29" t="s">
        <v>925</v>
      </c>
      <c r="AZ143" s="24" t="s">
        <v>937</v>
      </c>
      <c r="BB143" s="26">
        <f>AV143+AW143</f>
        <v>0</v>
      </c>
      <c r="BC143" s="26">
        <f>H143/(100-BD143)*100</f>
        <v>0</v>
      </c>
      <c r="BD143" s="26">
        <v>0</v>
      </c>
      <c r="BE143" s="26">
        <f>M143</f>
        <v>0.03222475</v>
      </c>
      <c r="BG143" s="16">
        <f>G143*AN143</f>
        <v>0</v>
      </c>
      <c r="BH143" s="16">
        <f>G143*AO143</f>
        <v>0</v>
      </c>
      <c r="BI143" s="16">
        <f>G143*H143</f>
        <v>0</v>
      </c>
      <c r="BJ143" s="16" t="s">
        <v>945</v>
      </c>
      <c r="BK143" s="26">
        <v>713</v>
      </c>
    </row>
    <row r="144" spans="1:14" s="58" customFormat="1" ht="12.75">
      <c r="A144" s="57"/>
      <c r="C144" s="59" t="s">
        <v>991</v>
      </c>
      <c r="D144" s="232" t="s">
        <v>1041</v>
      </c>
      <c r="E144" s="233"/>
      <c r="F144" s="233"/>
      <c r="G144" s="233"/>
      <c r="H144" s="233"/>
      <c r="I144" s="233"/>
      <c r="J144" s="233"/>
      <c r="K144" s="233"/>
      <c r="L144" s="233"/>
      <c r="M144" s="233"/>
      <c r="N144" s="57"/>
    </row>
    <row r="145" spans="1:63" ht="12.75">
      <c r="A145" s="4" t="s">
        <v>78</v>
      </c>
      <c r="B145" s="12" t="s">
        <v>273</v>
      </c>
      <c r="C145" s="53" t="s">
        <v>343</v>
      </c>
      <c r="D145" s="230" t="s">
        <v>626</v>
      </c>
      <c r="E145" s="231"/>
      <c r="F145" s="62" t="s">
        <v>847</v>
      </c>
      <c r="G145" s="104">
        <v>151.566</v>
      </c>
      <c r="H145" s="104"/>
      <c r="I145" s="16">
        <f>G145*AN145</f>
        <v>0</v>
      </c>
      <c r="J145" s="16">
        <f>G145*AO145</f>
        <v>0</v>
      </c>
      <c r="K145" s="126">
        <f>G145*H145</f>
        <v>0</v>
      </c>
      <c r="L145" s="16">
        <v>0.003</v>
      </c>
      <c r="M145" s="16">
        <f>G145*L145</f>
        <v>0.454698</v>
      </c>
      <c r="N145" s="5"/>
      <c r="Y145" s="26">
        <f>IF(AP145="5",BI145,0)</f>
        <v>0</v>
      </c>
      <c r="AA145" s="26">
        <f>IF(AP145="1",BG145,0)</f>
        <v>0</v>
      </c>
      <c r="AB145" s="26">
        <f>IF(AP145="1",BH145,0)</f>
        <v>0</v>
      </c>
      <c r="AC145" s="26">
        <f>IF(AP145="7",BG145,0)</f>
        <v>0</v>
      </c>
      <c r="AD145" s="26">
        <f>IF(AP145="7",BH145,0)</f>
        <v>0</v>
      </c>
      <c r="AE145" s="26">
        <f>IF(AP145="2",BG145,0)</f>
        <v>0</v>
      </c>
      <c r="AF145" s="26">
        <f>IF(AP145="2",BH145,0)</f>
        <v>0</v>
      </c>
      <c r="AG145" s="26">
        <f>IF(AP145="0",BI145,0)</f>
        <v>0</v>
      </c>
      <c r="AH145" s="24" t="s">
        <v>273</v>
      </c>
      <c r="AI145" s="16">
        <f>IF(AM145=0,K145,0)</f>
        <v>0</v>
      </c>
      <c r="AJ145" s="16">
        <f>IF(AM145=15,K145,0)</f>
        <v>0</v>
      </c>
      <c r="AK145" s="16">
        <f>IF(AM145=21,K145,0)</f>
        <v>0</v>
      </c>
      <c r="AM145" s="26">
        <v>15</v>
      </c>
      <c r="AN145" s="26">
        <f>H145*0.292176385616529</f>
        <v>0</v>
      </c>
      <c r="AO145" s="26">
        <f>H145*(1-0.292176385616529)</f>
        <v>0</v>
      </c>
      <c r="AP145" s="27" t="s">
        <v>13</v>
      </c>
      <c r="AU145" s="26">
        <f>AV145+AW145</f>
        <v>0</v>
      </c>
      <c r="AV145" s="26">
        <f>G145*AN145</f>
        <v>0</v>
      </c>
      <c r="AW145" s="26">
        <f>G145*AO145</f>
        <v>0</v>
      </c>
      <c r="AX145" s="29" t="s">
        <v>892</v>
      </c>
      <c r="AY145" s="29" t="s">
        <v>925</v>
      </c>
      <c r="AZ145" s="24" t="s">
        <v>937</v>
      </c>
      <c r="BB145" s="26">
        <f>AV145+AW145</f>
        <v>0</v>
      </c>
      <c r="BC145" s="26">
        <f>H145/(100-BD145)*100</f>
        <v>0</v>
      </c>
      <c r="BD145" s="26">
        <v>0</v>
      </c>
      <c r="BE145" s="26">
        <f>M145</f>
        <v>0.454698</v>
      </c>
      <c r="BG145" s="16">
        <f>G145*AN145</f>
        <v>0</v>
      </c>
      <c r="BH145" s="16">
        <f>G145*AO145</f>
        <v>0</v>
      </c>
      <c r="BI145" s="16">
        <f>G145*H145</f>
        <v>0</v>
      </c>
      <c r="BJ145" s="16" t="s">
        <v>945</v>
      </c>
      <c r="BK145" s="26">
        <v>713</v>
      </c>
    </row>
    <row r="146" spans="1:14" s="58" customFormat="1" ht="28.5" customHeight="1">
      <c r="A146" s="57"/>
      <c r="C146" s="59" t="s">
        <v>991</v>
      </c>
      <c r="D146" s="232" t="s">
        <v>1143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57"/>
    </row>
    <row r="147" spans="1:63" ht="12.75">
      <c r="A147" s="4" t="s">
        <v>79</v>
      </c>
      <c r="B147" s="12" t="s">
        <v>273</v>
      </c>
      <c r="C147" s="53" t="s">
        <v>344</v>
      </c>
      <c r="D147" s="230" t="s">
        <v>627</v>
      </c>
      <c r="E147" s="231"/>
      <c r="F147" s="62" t="s">
        <v>847</v>
      </c>
      <c r="G147" s="104">
        <v>28</v>
      </c>
      <c r="H147" s="104"/>
      <c r="I147" s="16">
        <f>G147*AN147</f>
        <v>0</v>
      </c>
      <c r="J147" s="16">
        <f>G147*AO147</f>
        <v>0</v>
      </c>
      <c r="K147" s="126">
        <f>G147*H147</f>
        <v>0</v>
      </c>
      <c r="L147" s="16">
        <v>0</v>
      </c>
      <c r="M147" s="16">
        <f>G147*L147</f>
        <v>0</v>
      </c>
      <c r="N147" s="5"/>
      <c r="Y147" s="26">
        <f>IF(AP147="5",BI147,0)</f>
        <v>0</v>
      </c>
      <c r="AA147" s="26">
        <f>IF(AP147="1",BG147,0)</f>
        <v>0</v>
      </c>
      <c r="AB147" s="26">
        <f>IF(AP147="1",BH147,0)</f>
        <v>0</v>
      </c>
      <c r="AC147" s="26">
        <f>IF(AP147="7",BG147,0)</f>
        <v>0</v>
      </c>
      <c r="AD147" s="26">
        <f>IF(AP147="7",BH147,0)</f>
        <v>0</v>
      </c>
      <c r="AE147" s="26">
        <f>IF(AP147="2",BG147,0)</f>
        <v>0</v>
      </c>
      <c r="AF147" s="26">
        <f>IF(AP147="2",BH147,0)</f>
        <v>0</v>
      </c>
      <c r="AG147" s="26">
        <f>IF(AP147="0",BI147,0)</f>
        <v>0</v>
      </c>
      <c r="AH147" s="24" t="s">
        <v>273</v>
      </c>
      <c r="AI147" s="16">
        <f>IF(AM147=0,K147,0)</f>
        <v>0</v>
      </c>
      <c r="AJ147" s="16">
        <f>IF(AM147=15,K147,0)</f>
        <v>0</v>
      </c>
      <c r="AK147" s="16">
        <f>IF(AM147=21,K147,0)</f>
        <v>0</v>
      </c>
      <c r="AM147" s="26">
        <v>15</v>
      </c>
      <c r="AN147" s="26">
        <f>H147*0</f>
        <v>0</v>
      </c>
      <c r="AO147" s="26">
        <f>H147*(1-0)</f>
        <v>0</v>
      </c>
      <c r="AP147" s="27" t="s">
        <v>13</v>
      </c>
      <c r="AU147" s="26">
        <f>AV147+AW147</f>
        <v>0</v>
      </c>
      <c r="AV147" s="26">
        <f>G147*AN147</f>
        <v>0</v>
      </c>
      <c r="AW147" s="26">
        <f>G147*AO147</f>
        <v>0</v>
      </c>
      <c r="AX147" s="29" t="s">
        <v>892</v>
      </c>
      <c r="AY147" s="29" t="s">
        <v>925</v>
      </c>
      <c r="AZ147" s="24" t="s">
        <v>937</v>
      </c>
      <c r="BB147" s="26">
        <f>AV147+AW147</f>
        <v>0</v>
      </c>
      <c r="BC147" s="26">
        <f>H147/(100-BD147)*100</f>
        <v>0</v>
      </c>
      <c r="BD147" s="26">
        <v>0</v>
      </c>
      <c r="BE147" s="26">
        <f>M147</f>
        <v>0</v>
      </c>
      <c r="BG147" s="16">
        <f>G147*AN147</f>
        <v>0</v>
      </c>
      <c r="BH147" s="16">
        <f>G147*AO147</f>
        <v>0</v>
      </c>
      <c r="BI147" s="16">
        <f>G147*H147</f>
        <v>0</v>
      </c>
      <c r="BJ147" s="16" t="s">
        <v>945</v>
      </c>
      <c r="BK147" s="26">
        <v>713</v>
      </c>
    </row>
    <row r="148" spans="1:14" s="58" customFormat="1" ht="27" customHeight="1">
      <c r="A148" s="57"/>
      <c r="C148" s="59" t="s">
        <v>991</v>
      </c>
      <c r="D148" s="232" t="s">
        <v>1141</v>
      </c>
      <c r="E148" s="233"/>
      <c r="F148" s="233"/>
      <c r="G148" s="233"/>
      <c r="H148" s="233"/>
      <c r="I148" s="233"/>
      <c r="J148" s="233"/>
      <c r="K148" s="233"/>
      <c r="L148" s="233"/>
      <c r="M148" s="233"/>
      <c r="N148" s="57"/>
    </row>
    <row r="149" spans="1:63" ht="12.75">
      <c r="A149" s="4" t="s">
        <v>80</v>
      </c>
      <c r="B149" s="12" t="s">
        <v>273</v>
      </c>
      <c r="C149" s="53" t="s">
        <v>345</v>
      </c>
      <c r="D149" s="230" t="s">
        <v>628</v>
      </c>
      <c r="E149" s="231"/>
      <c r="F149" s="62" t="s">
        <v>847</v>
      </c>
      <c r="G149" s="104">
        <v>1077.2</v>
      </c>
      <c r="H149" s="104"/>
      <c r="I149" s="16">
        <f>G149*AN149</f>
        <v>0</v>
      </c>
      <c r="J149" s="16">
        <f>G149*AO149</f>
        <v>0</v>
      </c>
      <c r="K149" s="126">
        <f>G149*H149</f>
        <v>0</v>
      </c>
      <c r="L149" s="16">
        <v>0</v>
      </c>
      <c r="M149" s="16">
        <f>G149*L149</f>
        <v>0</v>
      </c>
      <c r="N149" s="5"/>
      <c r="Y149" s="26">
        <f>IF(AP149="5",BI149,0)</f>
        <v>0</v>
      </c>
      <c r="AA149" s="26">
        <f>IF(AP149="1",BG149,0)</f>
        <v>0</v>
      </c>
      <c r="AB149" s="26">
        <f>IF(AP149="1",BH149,0)</f>
        <v>0</v>
      </c>
      <c r="AC149" s="26">
        <f>IF(AP149="7",BG149,0)</f>
        <v>0</v>
      </c>
      <c r="AD149" s="26">
        <f>IF(AP149="7",BH149,0)</f>
        <v>0</v>
      </c>
      <c r="AE149" s="26">
        <f>IF(AP149="2",BG149,0)</f>
        <v>0</v>
      </c>
      <c r="AF149" s="26">
        <f>IF(AP149="2",BH149,0)</f>
        <v>0</v>
      </c>
      <c r="AG149" s="26">
        <f>IF(AP149="0",BI149,0)</f>
        <v>0</v>
      </c>
      <c r="AH149" s="24" t="s">
        <v>273</v>
      </c>
      <c r="AI149" s="16">
        <f>IF(AM149=0,K149,0)</f>
        <v>0</v>
      </c>
      <c r="AJ149" s="16">
        <f>IF(AM149=15,K149,0)</f>
        <v>0</v>
      </c>
      <c r="AK149" s="16">
        <f>IF(AM149=21,K149,0)</f>
        <v>0</v>
      </c>
      <c r="AM149" s="26">
        <v>15</v>
      </c>
      <c r="AN149" s="26">
        <f>H149*0</f>
        <v>0</v>
      </c>
      <c r="AO149" s="26">
        <f>H149*(1-0)</f>
        <v>0</v>
      </c>
      <c r="AP149" s="27" t="s">
        <v>13</v>
      </c>
      <c r="AU149" s="26">
        <f>AV149+AW149</f>
        <v>0</v>
      </c>
      <c r="AV149" s="26">
        <f>G149*AN149</f>
        <v>0</v>
      </c>
      <c r="AW149" s="26">
        <f>G149*AO149</f>
        <v>0</v>
      </c>
      <c r="AX149" s="29" t="s">
        <v>892</v>
      </c>
      <c r="AY149" s="29" t="s">
        <v>925</v>
      </c>
      <c r="AZ149" s="24" t="s">
        <v>937</v>
      </c>
      <c r="BB149" s="26">
        <f>AV149+AW149</f>
        <v>0</v>
      </c>
      <c r="BC149" s="26">
        <f>H149/(100-BD149)*100</f>
        <v>0</v>
      </c>
      <c r="BD149" s="26">
        <v>0</v>
      </c>
      <c r="BE149" s="26">
        <f>M149</f>
        <v>0</v>
      </c>
      <c r="BG149" s="16">
        <f>G149*AN149</f>
        <v>0</v>
      </c>
      <c r="BH149" s="16">
        <f>G149*AO149</f>
        <v>0</v>
      </c>
      <c r="BI149" s="16">
        <f>G149*H149</f>
        <v>0</v>
      </c>
      <c r="BJ149" s="16" t="s">
        <v>945</v>
      </c>
      <c r="BK149" s="26">
        <v>713</v>
      </c>
    </row>
    <row r="150" spans="1:14" s="58" customFormat="1" ht="29.25" customHeight="1">
      <c r="A150" s="57"/>
      <c r="C150" s="59" t="s">
        <v>991</v>
      </c>
      <c r="D150" s="232" t="s">
        <v>1142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57"/>
    </row>
    <row r="151" spans="1:63" ht="12.75">
      <c r="A151" s="4" t="s">
        <v>81</v>
      </c>
      <c r="B151" s="12" t="s">
        <v>273</v>
      </c>
      <c r="C151" s="53" t="s">
        <v>346</v>
      </c>
      <c r="D151" s="230" t="s">
        <v>629</v>
      </c>
      <c r="E151" s="231"/>
      <c r="F151" s="62" t="s">
        <v>847</v>
      </c>
      <c r="G151" s="104">
        <v>16.92</v>
      </c>
      <c r="H151" s="104"/>
      <c r="I151" s="16">
        <f>G151*AN151</f>
        <v>0</v>
      </c>
      <c r="J151" s="16">
        <f>G151*AO151</f>
        <v>0</v>
      </c>
      <c r="K151" s="126">
        <f>G151*H151</f>
        <v>0</v>
      </c>
      <c r="L151" s="16">
        <v>0</v>
      </c>
      <c r="M151" s="16">
        <f>G151*L151</f>
        <v>0</v>
      </c>
      <c r="N151" s="5"/>
      <c r="Y151" s="26">
        <f>IF(AP151="5",BI151,0)</f>
        <v>0</v>
      </c>
      <c r="AA151" s="26">
        <f>IF(AP151="1",BG151,0)</f>
        <v>0</v>
      </c>
      <c r="AB151" s="26">
        <f>IF(AP151="1",BH151,0)</f>
        <v>0</v>
      </c>
      <c r="AC151" s="26">
        <f>IF(AP151="7",BG151,0)</f>
        <v>0</v>
      </c>
      <c r="AD151" s="26">
        <f>IF(AP151="7",BH151,0)</f>
        <v>0</v>
      </c>
      <c r="AE151" s="26">
        <f>IF(AP151="2",BG151,0)</f>
        <v>0</v>
      </c>
      <c r="AF151" s="26">
        <f>IF(AP151="2",BH151,0)</f>
        <v>0</v>
      </c>
      <c r="AG151" s="26">
        <f>IF(AP151="0",BI151,0)</f>
        <v>0</v>
      </c>
      <c r="AH151" s="24" t="s">
        <v>273</v>
      </c>
      <c r="AI151" s="16">
        <f>IF(AM151=0,K151,0)</f>
        <v>0</v>
      </c>
      <c r="AJ151" s="16">
        <f>IF(AM151=15,K151,0)</f>
        <v>0</v>
      </c>
      <c r="AK151" s="16">
        <f>IF(AM151=21,K151,0)</f>
        <v>0</v>
      </c>
      <c r="AM151" s="26">
        <v>15</v>
      </c>
      <c r="AN151" s="26">
        <f>H151*0.417766520498522</f>
        <v>0</v>
      </c>
      <c r="AO151" s="26">
        <f>H151*(1-0.417766520498522)</f>
        <v>0</v>
      </c>
      <c r="AP151" s="27" t="s">
        <v>13</v>
      </c>
      <c r="AU151" s="26">
        <f>AV151+AW151</f>
        <v>0</v>
      </c>
      <c r="AV151" s="26">
        <f>G151*AN151</f>
        <v>0</v>
      </c>
      <c r="AW151" s="26">
        <f>G151*AO151</f>
        <v>0</v>
      </c>
      <c r="AX151" s="29" t="s">
        <v>892</v>
      </c>
      <c r="AY151" s="29" t="s">
        <v>925</v>
      </c>
      <c r="AZ151" s="24" t="s">
        <v>937</v>
      </c>
      <c r="BB151" s="26">
        <f>AV151+AW151</f>
        <v>0</v>
      </c>
      <c r="BC151" s="26">
        <f>H151/(100-BD151)*100</f>
        <v>0</v>
      </c>
      <c r="BD151" s="26">
        <v>0</v>
      </c>
      <c r="BE151" s="26">
        <f>M151</f>
        <v>0</v>
      </c>
      <c r="BG151" s="16">
        <f>G151*AN151</f>
        <v>0</v>
      </c>
      <c r="BH151" s="16">
        <f>G151*AO151</f>
        <v>0</v>
      </c>
      <c r="BI151" s="16">
        <f>G151*H151</f>
        <v>0</v>
      </c>
      <c r="BJ151" s="16" t="s">
        <v>945</v>
      </c>
      <c r="BK151" s="26">
        <v>713</v>
      </c>
    </row>
    <row r="152" spans="1:14" s="58" customFormat="1" ht="14.25" customHeight="1">
      <c r="A152" s="57"/>
      <c r="C152" s="59" t="s">
        <v>991</v>
      </c>
      <c r="D152" s="232" t="s">
        <v>1042</v>
      </c>
      <c r="E152" s="233"/>
      <c r="F152" s="233"/>
      <c r="G152" s="233"/>
      <c r="H152" s="233"/>
      <c r="I152" s="233"/>
      <c r="J152" s="233"/>
      <c r="K152" s="233"/>
      <c r="L152" s="233"/>
      <c r="M152" s="233"/>
      <c r="N152" s="57"/>
    </row>
    <row r="153" spans="1:63" ht="12.75">
      <c r="A153" s="4" t="s">
        <v>82</v>
      </c>
      <c r="B153" s="12" t="s">
        <v>273</v>
      </c>
      <c r="C153" s="53" t="s">
        <v>347</v>
      </c>
      <c r="D153" s="230" t="s">
        <v>630</v>
      </c>
      <c r="E153" s="231"/>
      <c r="F153" s="62" t="s">
        <v>847</v>
      </c>
      <c r="G153" s="104">
        <v>16.92</v>
      </c>
      <c r="H153" s="104"/>
      <c r="I153" s="16">
        <f>G153*AN153</f>
        <v>0</v>
      </c>
      <c r="J153" s="16">
        <f>G153*AO153</f>
        <v>0</v>
      </c>
      <c r="K153" s="126">
        <f>G153*H153</f>
        <v>0</v>
      </c>
      <c r="L153" s="16">
        <v>0</v>
      </c>
      <c r="M153" s="16">
        <f>G153*L153</f>
        <v>0</v>
      </c>
      <c r="N153" s="5"/>
      <c r="Y153" s="26">
        <f>IF(AP153="5",BI153,0)</f>
        <v>0</v>
      </c>
      <c r="AA153" s="26">
        <f>IF(AP153="1",BG153,0)</f>
        <v>0</v>
      </c>
      <c r="AB153" s="26">
        <f>IF(AP153="1",BH153,0)</f>
        <v>0</v>
      </c>
      <c r="AC153" s="26">
        <f>IF(AP153="7",BG153,0)</f>
        <v>0</v>
      </c>
      <c r="AD153" s="26">
        <f>IF(AP153="7",BH153,0)</f>
        <v>0</v>
      </c>
      <c r="AE153" s="26">
        <f>IF(AP153="2",BG153,0)</f>
        <v>0</v>
      </c>
      <c r="AF153" s="26">
        <f>IF(AP153="2",BH153,0)</f>
        <v>0</v>
      </c>
      <c r="AG153" s="26">
        <f>IF(AP153="0",BI153,0)</f>
        <v>0</v>
      </c>
      <c r="AH153" s="24" t="s">
        <v>273</v>
      </c>
      <c r="AI153" s="16">
        <f>IF(AM153=0,K153,0)</f>
        <v>0</v>
      </c>
      <c r="AJ153" s="16">
        <f>IF(AM153=15,K153,0)</f>
        <v>0</v>
      </c>
      <c r="AK153" s="16">
        <f>IF(AM153=21,K153,0)</f>
        <v>0</v>
      </c>
      <c r="AM153" s="26">
        <v>15</v>
      </c>
      <c r="AN153" s="26">
        <f>H153*0.417768890401634</f>
        <v>0</v>
      </c>
      <c r="AO153" s="26">
        <f>H153*(1-0.417768890401634)</f>
        <v>0</v>
      </c>
      <c r="AP153" s="27" t="s">
        <v>13</v>
      </c>
      <c r="AU153" s="26">
        <f>AV153+AW153</f>
        <v>0</v>
      </c>
      <c r="AV153" s="26">
        <f>G153*AN153</f>
        <v>0</v>
      </c>
      <c r="AW153" s="26">
        <f>G153*AO153</f>
        <v>0</v>
      </c>
      <c r="AX153" s="29" t="s">
        <v>892</v>
      </c>
      <c r="AY153" s="29" t="s">
        <v>925</v>
      </c>
      <c r="AZ153" s="24" t="s">
        <v>937</v>
      </c>
      <c r="BB153" s="26">
        <f>AV153+AW153</f>
        <v>0</v>
      </c>
      <c r="BC153" s="26">
        <f>H153/(100-BD153)*100</f>
        <v>0</v>
      </c>
      <c r="BD153" s="26">
        <v>0</v>
      </c>
      <c r="BE153" s="26">
        <f>M153</f>
        <v>0</v>
      </c>
      <c r="BG153" s="16">
        <f>G153*AN153</f>
        <v>0</v>
      </c>
      <c r="BH153" s="16">
        <f>G153*AO153</f>
        <v>0</v>
      </c>
      <c r="BI153" s="16">
        <f>G153*H153</f>
        <v>0</v>
      </c>
      <c r="BJ153" s="16" t="s">
        <v>945</v>
      </c>
      <c r="BK153" s="26">
        <v>713</v>
      </c>
    </row>
    <row r="154" spans="1:14" s="58" customFormat="1" ht="15" customHeight="1">
      <c r="A154" s="57"/>
      <c r="C154" s="59" t="s">
        <v>991</v>
      </c>
      <c r="D154" s="232" t="s">
        <v>1043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57"/>
    </row>
    <row r="155" spans="1:46" ht="12.75">
      <c r="A155" s="3"/>
      <c r="B155" s="11" t="s">
        <v>273</v>
      </c>
      <c r="C155" s="52" t="s">
        <v>348</v>
      </c>
      <c r="D155" s="228" t="s">
        <v>631</v>
      </c>
      <c r="E155" s="229"/>
      <c r="F155" s="61" t="s">
        <v>6</v>
      </c>
      <c r="G155" s="61" t="s">
        <v>6</v>
      </c>
      <c r="H155" s="61" t="s">
        <v>6</v>
      </c>
      <c r="I155" s="31">
        <f>SUM(I156:I157)</f>
        <v>0</v>
      </c>
      <c r="J155" s="31">
        <f>SUM(J156:J157)</f>
        <v>0</v>
      </c>
      <c r="K155" s="128">
        <f>SUM(K156:K157)</f>
        <v>0</v>
      </c>
      <c r="L155" s="24"/>
      <c r="M155" s="31">
        <f>SUM(M156:M157)</f>
        <v>0.0758</v>
      </c>
      <c r="N155" s="5"/>
      <c r="AH155" s="24" t="s">
        <v>273</v>
      </c>
      <c r="AR155" s="31">
        <f>SUM(AI156:AI157)</f>
        <v>0</v>
      </c>
      <c r="AS155" s="31">
        <f>SUM(AJ156:AJ157)</f>
        <v>0</v>
      </c>
      <c r="AT155" s="31">
        <f>SUM(AK156:AK157)</f>
        <v>0</v>
      </c>
    </row>
    <row r="156" spans="1:63" ht="12.75">
      <c r="A156" s="4" t="s">
        <v>83</v>
      </c>
      <c r="B156" s="12" t="s">
        <v>273</v>
      </c>
      <c r="C156" s="53" t="s">
        <v>349</v>
      </c>
      <c r="D156" s="230" t="s">
        <v>1044</v>
      </c>
      <c r="E156" s="231"/>
      <c r="F156" s="62" t="s">
        <v>850</v>
      </c>
      <c r="G156" s="104">
        <v>1</v>
      </c>
      <c r="H156" s="104"/>
      <c r="I156" s="16">
        <f>G156*AN156</f>
        <v>0</v>
      </c>
      <c r="J156" s="16">
        <f>G156*AO156</f>
        <v>0</v>
      </c>
      <c r="K156" s="126">
        <f>G156*H156</f>
        <v>0</v>
      </c>
      <c r="L156" s="16">
        <v>0</v>
      </c>
      <c r="M156" s="16">
        <f>G156*L156</f>
        <v>0</v>
      </c>
      <c r="N156" s="5"/>
      <c r="Y156" s="26">
        <f>IF(AP156="5",BI156,0)</f>
        <v>0</v>
      </c>
      <c r="AA156" s="26">
        <f>IF(AP156="1",BG156,0)</f>
        <v>0</v>
      </c>
      <c r="AB156" s="26">
        <f>IF(AP156="1",BH156,0)</f>
        <v>0</v>
      </c>
      <c r="AC156" s="26">
        <f>IF(AP156="7",BG156,0)</f>
        <v>0</v>
      </c>
      <c r="AD156" s="26">
        <f>IF(AP156="7",BH156,0)</f>
        <v>0</v>
      </c>
      <c r="AE156" s="26">
        <f>IF(AP156="2",BG156,0)</f>
        <v>0</v>
      </c>
      <c r="AF156" s="26">
        <f>IF(AP156="2",BH156,0)</f>
        <v>0</v>
      </c>
      <c r="AG156" s="26">
        <f>IF(AP156="0",BI156,0)</f>
        <v>0</v>
      </c>
      <c r="AH156" s="24" t="s">
        <v>273</v>
      </c>
      <c r="AI156" s="16">
        <f>IF(AM156=0,K156,0)</f>
        <v>0</v>
      </c>
      <c r="AJ156" s="16">
        <f>IF(AM156=15,K156,0)</f>
        <v>0</v>
      </c>
      <c r="AK156" s="16">
        <f>IF(AM156=21,K156,0)</f>
        <v>0</v>
      </c>
      <c r="AM156" s="26">
        <v>15</v>
      </c>
      <c r="AN156" s="26">
        <f>H156*0</f>
        <v>0</v>
      </c>
      <c r="AO156" s="26">
        <f>H156*(1-0)</f>
        <v>0</v>
      </c>
      <c r="AP156" s="27" t="s">
        <v>13</v>
      </c>
      <c r="AU156" s="26">
        <f>AV156+AW156</f>
        <v>0</v>
      </c>
      <c r="AV156" s="26">
        <f>G156*AN156</f>
        <v>0</v>
      </c>
      <c r="AW156" s="26">
        <f>G156*AO156</f>
        <v>0</v>
      </c>
      <c r="AX156" s="29" t="s">
        <v>893</v>
      </c>
      <c r="AY156" s="29" t="s">
        <v>926</v>
      </c>
      <c r="AZ156" s="24" t="s">
        <v>937</v>
      </c>
      <c r="BB156" s="26">
        <f>AV156+AW156</f>
        <v>0</v>
      </c>
      <c r="BC156" s="26">
        <f>H156/(100-BD156)*100</f>
        <v>0</v>
      </c>
      <c r="BD156" s="26">
        <v>0</v>
      </c>
      <c r="BE156" s="26">
        <f>M156</f>
        <v>0</v>
      </c>
      <c r="BG156" s="16">
        <f>G156*AN156</f>
        <v>0</v>
      </c>
      <c r="BH156" s="16">
        <f>G156*AO156</f>
        <v>0</v>
      </c>
      <c r="BI156" s="16">
        <f>G156*H156</f>
        <v>0</v>
      </c>
      <c r="BJ156" s="16" t="s">
        <v>945</v>
      </c>
      <c r="BK156" s="26">
        <v>721</v>
      </c>
    </row>
    <row r="157" spans="1:63" ht="12.75">
      <c r="A157" s="4" t="s">
        <v>84</v>
      </c>
      <c r="B157" s="12" t="s">
        <v>273</v>
      </c>
      <c r="C157" s="53" t="s">
        <v>350</v>
      </c>
      <c r="D157" s="230" t="s">
        <v>632</v>
      </c>
      <c r="E157" s="231"/>
      <c r="F157" s="62" t="s">
        <v>850</v>
      </c>
      <c r="G157" s="104">
        <v>1</v>
      </c>
      <c r="H157" s="104"/>
      <c r="I157" s="16">
        <f>G157*AN157</f>
        <v>0</v>
      </c>
      <c r="J157" s="16">
        <f>G157*AO157</f>
        <v>0</v>
      </c>
      <c r="K157" s="126">
        <f>G157*H157</f>
        <v>0</v>
      </c>
      <c r="L157" s="16">
        <v>0.0758</v>
      </c>
      <c r="M157" s="16">
        <f>G157*L157</f>
        <v>0.0758</v>
      </c>
      <c r="N157" s="5"/>
      <c r="Y157" s="26">
        <f>IF(AP157="5",BI157,0)</f>
        <v>0</v>
      </c>
      <c r="AA157" s="26">
        <f>IF(AP157="1",BG157,0)</f>
        <v>0</v>
      </c>
      <c r="AB157" s="26">
        <f>IF(AP157="1",BH157,0)</f>
        <v>0</v>
      </c>
      <c r="AC157" s="26">
        <f>IF(AP157="7",BG157,0)</f>
        <v>0</v>
      </c>
      <c r="AD157" s="26">
        <f>IF(AP157="7",BH157,0)</f>
        <v>0</v>
      </c>
      <c r="AE157" s="26">
        <f>IF(AP157="2",BG157,0)</f>
        <v>0</v>
      </c>
      <c r="AF157" s="26">
        <f>IF(AP157="2",BH157,0)</f>
        <v>0</v>
      </c>
      <c r="AG157" s="26">
        <f>IF(AP157="0",BI157,0)</f>
        <v>0</v>
      </c>
      <c r="AH157" s="24" t="s">
        <v>273</v>
      </c>
      <c r="AI157" s="16">
        <f>IF(AM157=0,K157,0)</f>
        <v>0</v>
      </c>
      <c r="AJ157" s="16">
        <f>IF(AM157=15,K157,0)</f>
        <v>0</v>
      </c>
      <c r="AK157" s="16">
        <f>IF(AM157=21,K157,0)</f>
        <v>0</v>
      </c>
      <c r="AM157" s="26">
        <v>15</v>
      </c>
      <c r="AN157" s="26">
        <f>H157*0.84631109110686</f>
        <v>0</v>
      </c>
      <c r="AO157" s="26">
        <f>H157*(1-0.84631109110686)</f>
        <v>0</v>
      </c>
      <c r="AP157" s="27" t="s">
        <v>13</v>
      </c>
      <c r="AU157" s="26">
        <f>AV157+AW157</f>
        <v>0</v>
      </c>
      <c r="AV157" s="26">
        <f>G157*AN157</f>
        <v>0</v>
      </c>
      <c r="AW157" s="26">
        <f>G157*AO157</f>
        <v>0</v>
      </c>
      <c r="AX157" s="29" t="s">
        <v>893</v>
      </c>
      <c r="AY157" s="29" t="s">
        <v>926</v>
      </c>
      <c r="AZ157" s="24" t="s">
        <v>937</v>
      </c>
      <c r="BB157" s="26">
        <f>AV157+AW157</f>
        <v>0</v>
      </c>
      <c r="BC157" s="26">
        <f>H157/(100-BD157)*100</f>
        <v>0</v>
      </c>
      <c r="BD157" s="26">
        <v>0</v>
      </c>
      <c r="BE157" s="26">
        <f>M157</f>
        <v>0.0758</v>
      </c>
      <c r="BG157" s="16">
        <f>G157*AN157</f>
        <v>0</v>
      </c>
      <c r="BH157" s="16">
        <f>G157*AO157</f>
        <v>0</v>
      </c>
      <c r="BI157" s="16">
        <f>G157*H157</f>
        <v>0</v>
      </c>
      <c r="BJ157" s="16" t="s">
        <v>945</v>
      </c>
      <c r="BK157" s="26">
        <v>721</v>
      </c>
    </row>
    <row r="158" spans="1:14" s="58" customFormat="1" ht="12.75">
      <c r="A158" s="57"/>
      <c r="C158" s="59" t="s">
        <v>991</v>
      </c>
      <c r="D158" s="232" t="s">
        <v>1045</v>
      </c>
      <c r="E158" s="233"/>
      <c r="F158" s="233"/>
      <c r="G158" s="233"/>
      <c r="H158" s="233"/>
      <c r="I158" s="233"/>
      <c r="J158" s="233"/>
      <c r="K158" s="233"/>
      <c r="L158" s="233"/>
      <c r="M158" s="233"/>
      <c r="N158" s="57"/>
    </row>
    <row r="159" spans="1:46" ht="12.75">
      <c r="A159" s="3"/>
      <c r="B159" s="11" t="s">
        <v>273</v>
      </c>
      <c r="C159" s="52" t="s">
        <v>351</v>
      </c>
      <c r="D159" s="228" t="s">
        <v>633</v>
      </c>
      <c r="E159" s="229"/>
      <c r="F159" s="61" t="s">
        <v>6</v>
      </c>
      <c r="G159" s="61" t="s">
        <v>6</v>
      </c>
      <c r="H159" s="61" t="s">
        <v>6</v>
      </c>
      <c r="I159" s="31">
        <f>SUM(I160:I166)</f>
        <v>0</v>
      </c>
      <c r="J159" s="31">
        <f>SUM(J160:J166)</f>
        <v>0</v>
      </c>
      <c r="K159" s="128">
        <f>SUM(K160:K166)</f>
        <v>0</v>
      </c>
      <c r="L159" s="24"/>
      <c r="M159" s="31">
        <f>SUM(M160:M166)</f>
        <v>0.024999999999999998</v>
      </c>
      <c r="N159" s="5"/>
      <c r="AH159" s="24" t="s">
        <v>273</v>
      </c>
      <c r="AR159" s="31">
        <f>SUM(AI160:AI166)</f>
        <v>0</v>
      </c>
      <c r="AS159" s="31">
        <f>SUM(AJ160:AJ166)</f>
        <v>0</v>
      </c>
      <c r="AT159" s="31">
        <f>SUM(AK160:AK166)</f>
        <v>0</v>
      </c>
    </row>
    <row r="160" spans="1:63" ht="12.75">
      <c r="A160" s="4" t="s">
        <v>85</v>
      </c>
      <c r="B160" s="12" t="s">
        <v>273</v>
      </c>
      <c r="C160" s="53" t="s">
        <v>352</v>
      </c>
      <c r="D160" s="230" t="s">
        <v>634</v>
      </c>
      <c r="E160" s="231"/>
      <c r="F160" s="62" t="s">
        <v>850</v>
      </c>
      <c r="G160" s="104">
        <v>2</v>
      </c>
      <c r="H160" s="104"/>
      <c r="I160" s="16">
        <f>G160*AN160</f>
        <v>0</v>
      </c>
      <c r="J160" s="16">
        <f>G160*AO160</f>
        <v>0</v>
      </c>
      <c r="K160" s="126">
        <f>G160*H160</f>
        <v>0</v>
      </c>
      <c r="L160" s="16">
        <v>0.006</v>
      </c>
      <c r="M160" s="16">
        <f>G160*L160</f>
        <v>0.012</v>
      </c>
      <c r="N160" s="5"/>
      <c r="Y160" s="26">
        <f>IF(AP160="5",BI160,0)</f>
        <v>0</v>
      </c>
      <c r="AA160" s="26">
        <f>IF(AP160="1",BG160,0)</f>
        <v>0</v>
      </c>
      <c r="AB160" s="26">
        <f>IF(AP160="1",BH160,0)</f>
        <v>0</v>
      </c>
      <c r="AC160" s="26">
        <f>IF(AP160="7",BG160,0)</f>
        <v>0</v>
      </c>
      <c r="AD160" s="26">
        <f>IF(AP160="7",BH160,0)</f>
        <v>0</v>
      </c>
      <c r="AE160" s="26">
        <f>IF(AP160="2",BG160,0)</f>
        <v>0</v>
      </c>
      <c r="AF160" s="26">
        <f>IF(AP160="2",BH160,0)</f>
        <v>0</v>
      </c>
      <c r="AG160" s="26">
        <f>IF(AP160="0",BI160,0)</f>
        <v>0</v>
      </c>
      <c r="AH160" s="24" t="s">
        <v>273</v>
      </c>
      <c r="AI160" s="16">
        <f>IF(AM160=0,K160,0)</f>
        <v>0</v>
      </c>
      <c r="AJ160" s="16">
        <f>IF(AM160=15,K160,0)</f>
        <v>0</v>
      </c>
      <c r="AK160" s="16">
        <f>IF(AM160=21,K160,0)</f>
        <v>0</v>
      </c>
      <c r="AM160" s="26">
        <v>15</v>
      </c>
      <c r="AN160" s="26">
        <f>H160*0</f>
        <v>0</v>
      </c>
      <c r="AO160" s="26">
        <f>H160*(1-0)</f>
        <v>0</v>
      </c>
      <c r="AP160" s="27" t="s">
        <v>13</v>
      </c>
      <c r="AU160" s="26">
        <f>AV160+AW160</f>
        <v>0</v>
      </c>
      <c r="AV160" s="26">
        <f>G160*AN160</f>
        <v>0</v>
      </c>
      <c r="AW160" s="26">
        <f>G160*AO160</f>
        <v>0</v>
      </c>
      <c r="AX160" s="29" t="s">
        <v>894</v>
      </c>
      <c r="AY160" s="29" t="s">
        <v>926</v>
      </c>
      <c r="AZ160" s="24" t="s">
        <v>937</v>
      </c>
      <c r="BB160" s="26">
        <f>AV160+AW160</f>
        <v>0</v>
      </c>
      <c r="BC160" s="26">
        <f>H160/(100-BD160)*100</f>
        <v>0</v>
      </c>
      <c r="BD160" s="26">
        <v>0</v>
      </c>
      <c r="BE160" s="26">
        <f>M160</f>
        <v>0.012</v>
      </c>
      <c r="BG160" s="16">
        <f>G160*AN160</f>
        <v>0</v>
      </c>
      <c r="BH160" s="16">
        <f>G160*AO160</f>
        <v>0</v>
      </c>
      <c r="BI160" s="16">
        <f>G160*H160</f>
        <v>0</v>
      </c>
      <c r="BJ160" s="16" t="s">
        <v>945</v>
      </c>
      <c r="BK160" s="26">
        <v>728</v>
      </c>
    </row>
    <row r="161" spans="1:63" ht="12.75">
      <c r="A161" s="4"/>
      <c r="B161" s="12"/>
      <c r="C161" s="59" t="s">
        <v>991</v>
      </c>
      <c r="D161" s="232" t="s">
        <v>1046</v>
      </c>
      <c r="E161" s="233"/>
      <c r="F161" s="233"/>
      <c r="G161" s="233"/>
      <c r="H161" s="233"/>
      <c r="I161" s="233"/>
      <c r="J161" s="233"/>
      <c r="K161" s="233"/>
      <c r="L161" s="233"/>
      <c r="M161" s="233"/>
      <c r="N161" s="5"/>
      <c r="Y161" s="26"/>
      <c r="AA161" s="26"/>
      <c r="AB161" s="26"/>
      <c r="AC161" s="26"/>
      <c r="AD161" s="26"/>
      <c r="AE161" s="26"/>
      <c r="AF161" s="26"/>
      <c r="AG161" s="26"/>
      <c r="AH161" s="24"/>
      <c r="AI161" s="16"/>
      <c r="AJ161" s="16"/>
      <c r="AK161" s="16"/>
      <c r="AM161" s="26"/>
      <c r="AN161" s="26"/>
      <c r="AO161" s="26"/>
      <c r="AP161" s="27"/>
      <c r="AU161" s="26"/>
      <c r="AV161" s="26"/>
      <c r="AW161" s="26"/>
      <c r="AX161" s="29"/>
      <c r="AY161" s="29"/>
      <c r="AZ161" s="24"/>
      <c r="BB161" s="26"/>
      <c r="BC161" s="26"/>
      <c r="BD161" s="26"/>
      <c r="BE161" s="26"/>
      <c r="BG161" s="16"/>
      <c r="BH161" s="16"/>
      <c r="BI161" s="16"/>
      <c r="BJ161" s="16"/>
      <c r="BK161" s="26"/>
    </row>
    <row r="162" spans="1:63" ht="12.75">
      <c r="A162" s="4" t="s">
        <v>86</v>
      </c>
      <c r="B162" s="12" t="s">
        <v>273</v>
      </c>
      <c r="C162" s="53" t="s">
        <v>353</v>
      </c>
      <c r="D162" s="230" t="s">
        <v>635</v>
      </c>
      <c r="E162" s="231"/>
      <c r="F162" s="62" t="s">
        <v>850</v>
      </c>
      <c r="G162" s="104">
        <v>2</v>
      </c>
      <c r="H162" s="104"/>
      <c r="I162" s="16">
        <f>G162*AN162</f>
        <v>0</v>
      </c>
      <c r="J162" s="16">
        <f>G162*AO162</f>
        <v>0</v>
      </c>
      <c r="K162" s="126">
        <f>G162*H162</f>
        <v>0</v>
      </c>
      <c r="L162" s="16">
        <v>0.002</v>
      </c>
      <c r="M162" s="16">
        <f>G162*L162</f>
        <v>0.004</v>
      </c>
      <c r="N162" s="5"/>
      <c r="Y162" s="26">
        <f>IF(AP162="5",BI162,0)</f>
        <v>0</v>
      </c>
      <c r="AA162" s="26">
        <f>IF(AP162="1",BG162,0)</f>
        <v>0</v>
      </c>
      <c r="AB162" s="26">
        <f>IF(AP162="1",BH162,0)</f>
        <v>0</v>
      </c>
      <c r="AC162" s="26">
        <f>IF(AP162="7",BG162,0)</f>
        <v>0</v>
      </c>
      <c r="AD162" s="26">
        <f>IF(AP162="7",BH162,0)</f>
        <v>0</v>
      </c>
      <c r="AE162" s="26">
        <f>IF(AP162="2",BG162,0)</f>
        <v>0</v>
      </c>
      <c r="AF162" s="26">
        <f>IF(AP162="2",BH162,0)</f>
        <v>0</v>
      </c>
      <c r="AG162" s="26">
        <f>IF(AP162="0",BI162,0)</f>
        <v>0</v>
      </c>
      <c r="AH162" s="24" t="s">
        <v>273</v>
      </c>
      <c r="AI162" s="16">
        <f>IF(AM162=0,K162,0)</f>
        <v>0</v>
      </c>
      <c r="AJ162" s="16">
        <f>IF(AM162=15,K162,0)</f>
        <v>0</v>
      </c>
      <c r="AK162" s="16">
        <f>IF(AM162=21,K162,0)</f>
        <v>0</v>
      </c>
      <c r="AM162" s="26">
        <v>15</v>
      </c>
      <c r="AN162" s="26">
        <f>H162*0</f>
        <v>0</v>
      </c>
      <c r="AO162" s="26">
        <f>H162*(1-0)</f>
        <v>0</v>
      </c>
      <c r="AP162" s="27" t="s">
        <v>13</v>
      </c>
      <c r="AU162" s="26">
        <f>AV162+AW162</f>
        <v>0</v>
      </c>
      <c r="AV162" s="26">
        <f>G162*AN162</f>
        <v>0</v>
      </c>
      <c r="AW162" s="26">
        <f>G162*AO162</f>
        <v>0</v>
      </c>
      <c r="AX162" s="29" t="s">
        <v>894</v>
      </c>
      <c r="AY162" s="29" t="s">
        <v>926</v>
      </c>
      <c r="AZ162" s="24" t="s">
        <v>937</v>
      </c>
      <c r="BB162" s="26">
        <f>AV162+AW162</f>
        <v>0</v>
      </c>
      <c r="BC162" s="26">
        <f>H162/(100-BD162)*100</f>
        <v>0</v>
      </c>
      <c r="BD162" s="26">
        <v>0</v>
      </c>
      <c r="BE162" s="26">
        <f>M162</f>
        <v>0.004</v>
      </c>
      <c r="BG162" s="16">
        <f>G162*AN162</f>
        <v>0</v>
      </c>
      <c r="BH162" s="16">
        <f>G162*AO162</f>
        <v>0</v>
      </c>
      <c r="BI162" s="16">
        <f>G162*H162</f>
        <v>0</v>
      </c>
      <c r="BJ162" s="16" t="s">
        <v>945</v>
      </c>
      <c r="BK162" s="26">
        <v>728</v>
      </c>
    </row>
    <row r="163" spans="1:63" ht="12.75">
      <c r="A163" s="4"/>
      <c r="B163" s="12"/>
      <c r="C163" s="59" t="s">
        <v>991</v>
      </c>
      <c r="D163" s="232" t="s">
        <v>1047</v>
      </c>
      <c r="E163" s="233"/>
      <c r="F163" s="233"/>
      <c r="G163" s="233"/>
      <c r="H163" s="233"/>
      <c r="I163" s="233"/>
      <c r="J163" s="233"/>
      <c r="K163" s="233"/>
      <c r="L163" s="233"/>
      <c r="M163" s="233"/>
      <c r="N163" s="5"/>
      <c r="Y163" s="26"/>
      <c r="AA163" s="26"/>
      <c r="AB163" s="26"/>
      <c r="AC163" s="26"/>
      <c r="AD163" s="26"/>
      <c r="AE163" s="26"/>
      <c r="AF163" s="26"/>
      <c r="AG163" s="26"/>
      <c r="AH163" s="24"/>
      <c r="AI163" s="16"/>
      <c r="AJ163" s="16"/>
      <c r="AK163" s="16"/>
      <c r="AM163" s="26"/>
      <c r="AN163" s="26"/>
      <c r="AO163" s="26"/>
      <c r="AP163" s="27"/>
      <c r="AU163" s="26"/>
      <c r="AV163" s="26"/>
      <c r="AW163" s="26"/>
      <c r="AX163" s="29"/>
      <c r="AY163" s="29"/>
      <c r="AZ163" s="24"/>
      <c r="BB163" s="26"/>
      <c r="BC163" s="26"/>
      <c r="BD163" s="26"/>
      <c r="BE163" s="26"/>
      <c r="BG163" s="16"/>
      <c r="BH163" s="16"/>
      <c r="BI163" s="16"/>
      <c r="BJ163" s="16"/>
      <c r="BK163" s="26"/>
    </row>
    <row r="164" spans="1:63" ht="12.75">
      <c r="A164" s="4" t="s">
        <v>87</v>
      </c>
      <c r="B164" s="12" t="s">
        <v>273</v>
      </c>
      <c r="C164" s="53" t="s">
        <v>354</v>
      </c>
      <c r="D164" s="230" t="s">
        <v>636</v>
      </c>
      <c r="E164" s="231"/>
      <c r="F164" s="62" t="s">
        <v>850</v>
      </c>
      <c r="G164" s="104">
        <v>2</v>
      </c>
      <c r="H164" s="104"/>
      <c r="I164" s="16">
        <f>G164*AN164</f>
        <v>0</v>
      </c>
      <c r="J164" s="16">
        <f>G164*AO164</f>
        <v>0</v>
      </c>
      <c r="K164" s="126">
        <f>G164*H164</f>
        <v>0</v>
      </c>
      <c r="L164" s="16">
        <v>0.003</v>
      </c>
      <c r="M164" s="16">
        <f>G164*L164</f>
        <v>0.006</v>
      </c>
      <c r="N164" s="5"/>
      <c r="Y164" s="26">
        <f>IF(AP164="5",BI164,0)</f>
        <v>0</v>
      </c>
      <c r="AA164" s="26">
        <f>IF(AP164="1",BG164,0)</f>
        <v>0</v>
      </c>
      <c r="AB164" s="26">
        <f>IF(AP164="1",BH164,0)</f>
        <v>0</v>
      </c>
      <c r="AC164" s="26">
        <f>IF(AP164="7",BG164,0)</f>
        <v>0</v>
      </c>
      <c r="AD164" s="26">
        <f>IF(AP164="7",BH164,0)</f>
        <v>0</v>
      </c>
      <c r="AE164" s="26">
        <f>IF(AP164="2",BG164,0)</f>
        <v>0</v>
      </c>
      <c r="AF164" s="26">
        <f>IF(AP164="2",BH164,0)</f>
        <v>0</v>
      </c>
      <c r="AG164" s="26">
        <f>IF(AP164="0",BI164,0)</f>
        <v>0</v>
      </c>
      <c r="AH164" s="24" t="s">
        <v>273</v>
      </c>
      <c r="AI164" s="16">
        <f>IF(AM164=0,K164,0)</f>
        <v>0</v>
      </c>
      <c r="AJ164" s="16">
        <f>IF(AM164=15,K164,0)</f>
        <v>0</v>
      </c>
      <c r="AK164" s="16">
        <f>IF(AM164=21,K164,0)</f>
        <v>0</v>
      </c>
      <c r="AM164" s="26">
        <v>15</v>
      </c>
      <c r="AN164" s="26">
        <f>H164*0</f>
        <v>0</v>
      </c>
      <c r="AO164" s="26">
        <f>H164*(1-0)</f>
        <v>0</v>
      </c>
      <c r="AP164" s="27" t="s">
        <v>13</v>
      </c>
      <c r="AU164" s="26">
        <f>AV164+AW164</f>
        <v>0</v>
      </c>
      <c r="AV164" s="26">
        <f>G164*AN164</f>
        <v>0</v>
      </c>
      <c r="AW164" s="26">
        <f>G164*AO164</f>
        <v>0</v>
      </c>
      <c r="AX164" s="29" t="s">
        <v>894</v>
      </c>
      <c r="AY164" s="29" t="s">
        <v>926</v>
      </c>
      <c r="AZ164" s="24" t="s">
        <v>937</v>
      </c>
      <c r="BB164" s="26">
        <f>AV164+AW164</f>
        <v>0</v>
      </c>
      <c r="BC164" s="26">
        <f>H164/(100-BD164)*100</f>
        <v>0</v>
      </c>
      <c r="BD164" s="26">
        <v>0</v>
      </c>
      <c r="BE164" s="26">
        <f>M164</f>
        <v>0.006</v>
      </c>
      <c r="BG164" s="16">
        <f>G164*AN164</f>
        <v>0</v>
      </c>
      <c r="BH164" s="16">
        <f>G164*AO164</f>
        <v>0</v>
      </c>
      <c r="BI164" s="16">
        <f>G164*H164</f>
        <v>0</v>
      </c>
      <c r="BJ164" s="16" t="s">
        <v>945</v>
      </c>
      <c r="BK164" s="26">
        <v>728</v>
      </c>
    </row>
    <row r="165" spans="1:63" ht="12.75">
      <c r="A165" s="4"/>
      <c r="B165" s="12"/>
      <c r="C165" s="59" t="s">
        <v>991</v>
      </c>
      <c r="D165" s="232" t="s">
        <v>1048</v>
      </c>
      <c r="E165" s="233"/>
      <c r="F165" s="233"/>
      <c r="G165" s="233"/>
      <c r="H165" s="233"/>
      <c r="I165" s="233"/>
      <c r="J165" s="233"/>
      <c r="K165" s="233"/>
      <c r="L165" s="233"/>
      <c r="M165" s="233"/>
      <c r="N165" s="5"/>
      <c r="Y165" s="26"/>
      <c r="AA165" s="26"/>
      <c r="AB165" s="26"/>
      <c r="AC165" s="26"/>
      <c r="AD165" s="26"/>
      <c r="AE165" s="26"/>
      <c r="AF165" s="26"/>
      <c r="AG165" s="26"/>
      <c r="AH165" s="24"/>
      <c r="AI165" s="16"/>
      <c r="AJ165" s="16"/>
      <c r="AK165" s="16"/>
      <c r="AM165" s="26"/>
      <c r="AN165" s="26"/>
      <c r="AO165" s="26"/>
      <c r="AP165" s="27"/>
      <c r="AU165" s="26"/>
      <c r="AV165" s="26"/>
      <c r="AW165" s="26"/>
      <c r="AX165" s="29"/>
      <c r="AY165" s="29"/>
      <c r="AZ165" s="24"/>
      <c r="BB165" s="26"/>
      <c r="BC165" s="26"/>
      <c r="BD165" s="26"/>
      <c r="BE165" s="26"/>
      <c r="BG165" s="16"/>
      <c r="BH165" s="16"/>
      <c r="BI165" s="16"/>
      <c r="BJ165" s="16"/>
      <c r="BK165" s="26"/>
    </row>
    <row r="166" spans="1:63" ht="12.75">
      <c r="A166" s="4" t="s">
        <v>88</v>
      </c>
      <c r="B166" s="12" t="s">
        <v>273</v>
      </c>
      <c r="C166" s="53" t="s">
        <v>355</v>
      </c>
      <c r="D166" s="230" t="s">
        <v>636</v>
      </c>
      <c r="E166" s="231"/>
      <c r="F166" s="62" t="s">
        <v>850</v>
      </c>
      <c r="G166" s="104">
        <v>1</v>
      </c>
      <c r="H166" s="104"/>
      <c r="I166" s="16">
        <f>G166*AN166</f>
        <v>0</v>
      </c>
      <c r="J166" s="16">
        <f>G166*AO166</f>
        <v>0</v>
      </c>
      <c r="K166" s="126">
        <f>G166*H166</f>
        <v>0</v>
      </c>
      <c r="L166" s="16">
        <v>0.003</v>
      </c>
      <c r="M166" s="16">
        <f>G166*L166</f>
        <v>0.003</v>
      </c>
      <c r="N166" s="5"/>
      <c r="Y166" s="26">
        <f>IF(AP166="5",BI166,0)</f>
        <v>0</v>
      </c>
      <c r="AA166" s="26">
        <f>IF(AP166="1",BG166,0)</f>
        <v>0</v>
      </c>
      <c r="AB166" s="26">
        <f>IF(AP166="1",BH166,0)</f>
        <v>0</v>
      </c>
      <c r="AC166" s="26">
        <f>IF(AP166="7",BG166,0)</f>
        <v>0</v>
      </c>
      <c r="AD166" s="26">
        <f>IF(AP166="7",BH166,0)</f>
        <v>0</v>
      </c>
      <c r="AE166" s="26">
        <f>IF(AP166="2",BG166,0)</f>
        <v>0</v>
      </c>
      <c r="AF166" s="26">
        <f>IF(AP166="2",BH166,0)</f>
        <v>0</v>
      </c>
      <c r="AG166" s="26">
        <f>IF(AP166="0",BI166,0)</f>
        <v>0</v>
      </c>
      <c r="AH166" s="24" t="s">
        <v>273</v>
      </c>
      <c r="AI166" s="16">
        <f>IF(AM166=0,K166,0)</f>
        <v>0</v>
      </c>
      <c r="AJ166" s="16">
        <f>IF(AM166=15,K166,0)</f>
        <v>0</v>
      </c>
      <c r="AK166" s="16">
        <f>IF(AM166=21,K166,0)</f>
        <v>0</v>
      </c>
      <c r="AM166" s="26">
        <v>15</v>
      </c>
      <c r="AN166" s="26">
        <f>H166*0</f>
        <v>0</v>
      </c>
      <c r="AO166" s="26">
        <f>H166*(1-0)</f>
        <v>0</v>
      </c>
      <c r="AP166" s="27" t="s">
        <v>13</v>
      </c>
      <c r="AU166" s="26">
        <f>AV166+AW166</f>
        <v>0</v>
      </c>
      <c r="AV166" s="26">
        <f>G166*AN166</f>
        <v>0</v>
      </c>
      <c r="AW166" s="26">
        <f>G166*AO166</f>
        <v>0</v>
      </c>
      <c r="AX166" s="29" t="s">
        <v>894</v>
      </c>
      <c r="AY166" s="29" t="s">
        <v>926</v>
      </c>
      <c r="AZ166" s="24" t="s">
        <v>937</v>
      </c>
      <c r="BB166" s="26">
        <f>AV166+AW166</f>
        <v>0</v>
      </c>
      <c r="BC166" s="26">
        <f>H166/(100-BD166)*100</f>
        <v>0</v>
      </c>
      <c r="BD166" s="26">
        <v>0</v>
      </c>
      <c r="BE166" s="26">
        <f>M166</f>
        <v>0.003</v>
      </c>
      <c r="BG166" s="16">
        <f>G166*AN166</f>
        <v>0</v>
      </c>
      <c r="BH166" s="16">
        <f>G166*AO166</f>
        <v>0</v>
      </c>
      <c r="BI166" s="16">
        <f>G166*H166</f>
        <v>0</v>
      </c>
      <c r="BJ166" s="16" t="s">
        <v>945</v>
      </c>
      <c r="BK166" s="26">
        <v>728</v>
      </c>
    </row>
    <row r="167" spans="1:63" ht="12.75">
      <c r="A167" s="4"/>
      <c r="B167" s="12"/>
      <c r="C167" s="59" t="s">
        <v>991</v>
      </c>
      <c r="D167" s="232" t="s">
        <v>1049</v>
      </c>
      <c r="E167" s="233"/>
      <c r="F167" s="233"/>
      <c r="G167" s="233"/>
      <c r="H167" s="233"/>
      <c r="I167" s="233"/>
      <c r="J167" s="233"/>
      <c r="K167" s="233"/>
      <c r="L167" s="233"/>
      <c r="M167" s="233"/>
      <c r="N167" s="5"/>
      <c r="Y167" s="26"/>
      <c r="AA167" s="26"/>
      <c r="AB167" s="26"/>
      <c r="AC167" s="26"/>
      <c r="AD167" s="26"/>
      <c r="AE167" s="26"/>
      <c r="AF167" s="26"/>
      <c r="AG167" s="26"/>
      <c r="AH167" s="24"/>
      <c r="AI167" s="16"/>
      <c r="AJ167" s="16"/>
      <c r="AK167" s="16"/>
      <c r="AM167" s="26"/>
      <c r="AN167" s="26"/>
      <c r="AO167" s="26"/>
      <c r="AP167" s="27"/>
      <c r="AU167" s="26"/>
      <c r="AV167" s="26"/>
      <c r="AW167" s="26"/>
      <c r="AX167" s="29"/>
      <c r="AY167" s="29"/>
      <c r="AZ167" s="24"/>
      <c r="BB167" s="26"/>
      <c r="BC167" s="26"/>
      <c r="BD167" s="26"/>
      <c r="BE167" s="26"/>
      <c r="BG167" s="16"/>
      <c r="BH167" s="16"/>
      <c r="BI167" s="16"/>
      <c r="BJ167" s="16"/>
      <c r="BK167" s="26"/>
    </row>
    <row r="168" spans="1:46" ht="12.75">
      <c r="A168" s="3"/>
      <c r="B168" s="11" t="s">
        <v>273</v>
      </c>
      <c r="C168" s="52" t="s">
        <v>356</v>
      </c>
      <c r="D168" s="228" t="s">
        <v>637</v>
      </c>
      <c r="E168" s="229"/>
      <c r="F168" s="61" t="s">
        <v>6</v>
      </c>
      <c r="G168" s="61" t="s">
        <v>6</v>
      </c>
      <c r="H168" s="61" t="s">
        <v>6</v>
      </c>
      <c r="I168" s="31">
        <f>SUM(I169:I169)</f>
        <v>0</v>
      </c>
      <c r="J168" s="31">
        <f>SUM(J169:J169)</f>
        <v>0</v>
      </c>
      <c r="K168" s="128">
        <f>SUM(K169:K169)</f>
        <v>0</v>
      </c>
      <c r="L168" s="24"/>
      <c r="M168" s="31">
        <f>SUM(M169:M169)</f>
        <v>0.47145</v>
      </c>
      <c r="N168" s="5"/>
      <c r="AH168" s="24" t="s">
        <v>273</v>
      </c>
      <c r="AR168" s="31">
        <f>SUM(AI169:AI169)</f>
        <v>0</v>
      </c>
      <c r="AS168" s="31">
        <f>SUM(AJ169:AJ169)</f>
        <v>0</v>
      </c>
      <c r="AT168" s="31">
        <f>SUM(AK169:AK169)</f>
        <v>0</v>
      </c>
    </row>
    <row r="169" spans="1:63" ht="12.75">
      <c r="A169" s="4" t="s">
        <v>89</v>
      </c>
      <c r="B169" s="12" t="s">
        <v>273</v>
      </c>
      <c r="C169" s="53" t="s">
        <v>357</v>
      </c>
      <c r="D169" s="230" t="s">
        <v>638</v>
      </c>
      <c r="E169" s="231"/>
      <c r="F169" s="62" t="s">
        <v>846</v>
      </c>
      <c r="G169" s="104">
        <v>35</v>
      </c>
      <c r="H169" s="104"/>
      <c r="I169" s="16">
        <f>G169*AN169</f>
        <v>0</v>
      </c>
      <c r="J169" s="16">
        <f>G169*AO169</f>
        <v>0</v>
      </c>
      <c r="K169" s="126">
        <f>G169*H169</f>
        <v>0</v>
      </c>
      <c r="L169" s="16">
        <v>0.01347</v>
      </c>
      <c r="M169" s="16">
        <f>G169*L169</f>
        <v>0.47145</v>
      </c>
      <c r="N169" s="5"/>
      <c r="Y169" s="26">
        <f>IF(AP169="5",BI169,0)</f>
        <v>0</v>
      </c>
      <c r="AA169" s="26">
        <f>IF(AP169="1",BG169,0)</f>
        <v>0</v>
      </c>
      <c r="AB169" s="26">
        <f>IF(AP169="1",BH169,0)</f>
        <v>0</v>
      </c>
      <c r="AC169" s="26">
        <f>IF(AP169="7",BG169,0)</f>
        <v>0</v>
      </c>
      <c r="AD169" s="26">
        <f>IF(AP169="7",BH169,0)</f>
        <v>0</v>
      </c>
      <c r="AE169" s="26">
        <f>IF(AP169="2",BG169,0)</f>
        <v>0</v>
      </c>
      <c r="AF169" s="26">
        <f>IF(AP169="2",BH169,0)</f>
        <v>0</v>
      </c>
      <c r="AG169" s="26">
        <f>IF(AP169="0",BI169,0)</f>
        <v>0</v>
      </c>
      <c r="AH169" s="24" t="s">
        <v>273</v>
      </c>
      <c r="AI169" s="16">
        <f>IF(AM169=0,K169,0)</f>
        <v>0</v>
      </c>
      <c r="AJ169" s="16">
        <f>IF(AM169=15,K169,0)</f>
        <v>0</v>
      </c>
      <c r="AK169" s="16">
        <f>IF(AM169=21,K169,0)</f>
        <v>0</v>
      </c>
      <c r="AM169" s="26">
        <v>15</v>
      </c>
      <c r="AN169" s="26">
        <f>H169*0.844526614498237</f>
        <v>0</v>
      </c>
      <c r="AO169" s="26">
        <f>H169*(1-0.844526614498237)</f>
        <v>0</v>
      </c>
      <c r="AP169" s="27" t="s">
        <v>13</v>
      </c>
      <c r="AU169" s="26">
        <f>AV169+AW169</f>
        <v>0</v>
      </c>
      <c r="AV169" s="26">
        <f>G169*AN169</f>
        <v>0</v>
      </c>
      <c r="AW169" s="26">
        <f>G169*AO169</f>
        <v>0</v>
      </c>
      <c r="AX169" s="29" t="s">
        <v>895</v>
      </c>
      <c r="AY169" s="29" t="s">
        <v>927</v>
      </c>
      <c r="AZ169" s="24" t="s">
        <v>937</v>
      </c>
      <c r="BB169" s="26">
        <f>AV169+AW169</f>
        <v>0</v>
      </c>
      <c r="BC169" s="26">
        <f>H169/(100-BD169)*100</f>
        <v>0</v>
      </c>
      <c r="BD169" s="26">
        <v>0</v>
      </c>
      <c r="BE169" s="26">
        <f>M169</f>
        <v>0.47145</v>
      </c>
      <c r="BG169" s="16">
        <f>G169*AN169</f>
        <v>0</v>
      </c>
      <c r="BH169" s="16">
        <f>G169*AO169</f>
        <v>0</v>
      </c>
      <c r="BI169" s="16">
        <f>G169*H169</f>
        <v>0</v>
      </c>
      <c r="BJ169" s="16" t="s">
        <v>945</v>
      </c>
      <c r="BK169" s="26">
        <v>762</v>
      </c>
    </row>
    <row r="170" spans="1:14" s="58" customFormat="1" ht="12.75">
      <c r="A170" s="57"/>
      <c r="C170" s="59" t="s">
        <v>1004</v>
      </c>
      <c r="D170" s="234" t="s">
        <v>1050</v>
      </c>
      <c r="E170" s="235"/>
      <c r="F170" s="235"/>
      <c r="G170" s="235"/>
      <c r="H170" s="235"/>
      <c r="I170" s="235"/>
      <c r="J170" s="235"/>
      <c r="K170" s="235"/>
      <c r="L170" s="235"/>
      <c r="M170" s="235"/>
      <c r="N170" s="57"/>
    </row>
    <row r="171" spans="1:46" ht="12.75">
      <c r="A171" s="3"/>
      <c r="B171" s="11" t="s">
        <v>273</v>
      </c>
      <c r="C171" s="52" t="s">
        <v>358</v>
      </c>
      <c r="D171" s="228" t="s">
        <v>639</v>
      </c>
      <c r="E171" s="229"/>
      <c r="F171" s="61" t="s">
        <v>6</v>
      </c>
      <c r="G171" s="61" t="s">
        <v>6</v>
      </c>
      <c r="H171" s="61" t="s">
        <v>6</v>
      </c>
      <c r="I171" s="31">
        <f>SUM(I172:I202)</f>
        <v>0</v>
      </c>
      <c r="J171" s="31">
        <f>SUM(J172:J202)</f>
        <v>0</v>
      </c>
      <c r="K171" s="128">
        <f>SUM(K172:K205)</f>
        <v>0</v>
      </c>
      <c r="L171" s="24"/>
      <c r="M171" s="31">
        <f>SUM(M172:M202)</f>
        <v>3.8420575999999995</v>
      </c>
      <c r="N171" s="5"/>
      <c r="AH171" s="24" t="s">
        <v>273</v>
      </c>
      <c r="AR171" s="31">
        <f>SUM(AI172:AI202)</f>
        <v>0</v>
      </c>
      <c r="AS171" s="31">
        <f>SUM(AJ172:AJ202)</f>
        <v>0</v>
      </c>
      <c r="AT171" s="31">
        <f>SUM(AK172:AK202)</f>
        <v>0</v>
      </c>
    </row>
    <row r="172" spans="1:63" ht="12.75">
      <c r="A172" s="4" t="s">
        <v>90</v>
      </c>
      <c r="B172" s="12" t="s">
        <v>273</v>
      </c>
      <c r="C172" s="53" t="s">
        <v>359</v>
      </c>
      <c r="D172" s="230" t="s">
        <v>640</v>
      </c>
      <c r="E172" s="231"/>
      <c r="F172" s="62" t="s">
        <v>846</v>
      </c>
      <c r="G172" s="104">
        <v>44.84</v>
      </c>
      <c r="H172" s="104"/>
      <c r="I172" s="16">
        <f aca="true" t="shared" si="48" ref="I172:I178">G172*AN172</f>
        <v>0</v>
      </c>
      <c r="J172" s="16">
        <f aca="true" t="shared" si="49" ref="J172:J178">G172*AO172</f>
        <v>0</v>
      </c>
      <c r="K172" s="126">
        <f aca="true" t="shared" si="50" ref="K172:K178">G172*H172</f>
        <v>0</v>
      </c>
      <c r="L172" s="16">
        <v>0.00135</v>
      </c>
      <c r="M172" s="16">
        <f aca="true" t="shared" si="51" ref="M172:M178">G172*L172</f>
        <v>0.060534000000000004</v>
      </c>
      <c r="N172" s="5"/>
      <c r="Y172" s="26">
        <f aca="true" t="shared" si="52" ref="Y172:Y178">IF(AP172="5",BI172,0)</f>
        <v>0</v>
      </c>
      <c r="AA172" s="26">
        <f aca="true" t="shared" si="53" ref="AA172:AA178">IF(AP172="1",BG172,0)</f>
        <v>0</v>
      </c>
      <c r="AB172" s="26">
        <f aca="true" t="shared" si="54" ref="AB172:AB178">IF(AP172="1",BH172,0)</f>
        <v>0</v>
      </c>
      <c r="AC172" s="26">
        <f aca="true" t="shared" si="55" ref="AC172:AC178">IF(AP172="7",BG172,0)</f>
        <v>0</v>
      </c>
      <c r="AD172" s="26">
        <f aca="true" t="shared" si="56" ref="AD172:AD178">IF(AP172="7",BH172,0)</f>
        <v>0</v>
      </c>
      <c r="AE172" s="26">
        <f aca="true" t="shared" si="57" ref="AE172:AE178">IF(AP172="2",BG172,0)</f>
        <v>0</v>
      </c>
      <c r="AF172" s="26">
        <f aca="true" t="shared" si="58" ref="AF172:AF178">IF(AP172="2",BH172,0)</f>
        <v>0</v>
      </c>
      <c r="AG172" s="26">
        <f aca="true" t="shared" si="59" ref="AG172:AG178">IF(AP172="0",BI172,0)</f>
        <v>0</v>
      </c>
      <c r="AH172" s="24" t="s">
        <v>273</v>
      </c>
      <c r="AI172" s="16">
        <f aca="true" t="shared" si="60" ref="AI172:AI178">IF(AM172=0,K172,0)</f>
        <v>0</v>
      </c>
      <c r="AJ172" s="16">
        <f aca="true" t="shared" si="61" ref="AJ172:AJ178">IF(AM172=15,K172,0)</f>
        <v>0</v>
      </c>
      <c r="AK172" s="16">
        <f aca="true" t="shared" si="62" ref="AK172:AK178">IF(AM172=21,K172,0)</f>
        <v>0</v>
      </c>
      <c r="AM172" s="26">
        <v>15</v>
      </c>
      <c r="AN172" s="26">
        <f aca="true" t="shared" si="63" ref="AN172:AN177">H172*0</f>
        <v>0</v>
      </c>
      <c r="AO172" s="26">
        <f aca="true" t="shared" si="64" ref="AO172:AO177">H172*(1-0)</f>
        <v>0</v>
      </c>
      <c r="AP172" s="27" t="s">
        <v>13</v>
      </c>
      <c r="AU172" s="26">
        <f aca="true" t="shared" si="65" ref="AU172:AU178">AV172+AW172</f>
        <v>0</v>
      </c>
      <c r="AV172" s="26">
        <f aca="true" t="shared" si="66" ref="AV172:AV178">G172*AN172</f>
        <v>0</v>
      </c>
      <c r="AW172" s="26">
        <f aca="true" t="shared" si="67" ref="AW172:AW178">G172*AO172</f>
        <v>0</v>
      </c>
      <c r="AX172" s="29" t="s">
        <v>896</v>
      </c>
      <c r="AY172" s="29" t="s">
        <v>927</v>
      </c>
      <c r="AZ172" s="24" t="s">
        <v>937</v>
      </c>
      <c r="BB172" s="26">
        <f aca="true" t="shared" si="68" ref="BB172:BB178">AV172+AW172</f>
        <v>0</v>
      </c>
      <c r="BC172" s="26">
        <f aca="true" t="shared" si="69" ref="BC172:BC178">H172/(100-BD172)*100</f>
        <v>0</v>
      </c>
      <c r="BD172" s="26">
        <v>0</v>
      </c>
      <c r="BE172" s="26">
        <f aca="true" t="shared" si="70" ref="BE172:BE178">M172</f>
        <v>0.060534000000000004</v>
      </c>
      <c r="BG172" s="16">
        <f aca="true" t="shared" si="71" ref="BG172:BG178">G172*AN172</f>
        <v>0</v>
      </c>
      <c r="BH172" s="16">
        <f aca="true" t="shared" si="72" ref="BH172:BH178">G172*AO172</f>
        <v>0</v>
      </c>
      <c r="BI172" s="16">
        <f aca="true" t="shared" si="73" ref="BI172:BI178">G172*H172</f>
        <v>0</v>
      </c>
      <c r="BJ172" s="16" t="s">
        <v>945</v>
      </c>
      <c r="BK172" s="26">
        <v>764</v>
      </c>
    </row>
    <row r="173" spans="1:63" ht="12.75">
      <c r="A173" s="4" t="s">
        <v>91</v>
      </c>
      <c r="B173" s="12" t="s">
        <v>273</v>
      </c>
      <c r="C173" s="53" t="s">
        <v>360</v>
      </c>
      <c r="D173" s="230" t="s">
        <v>641</v>
      </c>
      <c r="E173" s="231"/>
      <c r="F173" s="62" t="s">
        <v>846</v>
      </c>
      <c r="G173" s="104">
        <v>30.7</v>
      </c>
      <c r="H173" s="104"/>
      <c r="I173" s="16">
        <f t="shared" si="48"/>
        <v>0</v>
      </c>
      <c r="J173" s="16">
        <f t="shared" si="49"/>
        <v>0</v>
      </c>
      <c r="K173" s="126">
        <f t="shared" si="50"/>
        <v>0</v>
      </c>
      <c r="L173" s="16">
        <v>0.0023</v>
      </c>
      <c r="M173" s="16">
        <f t="shared" si="51"/>
        <v>0.07060999999999999</v>
      </c>
      <c r="N173" s="5"/>
      <c r="Y173" s="26">
        <f t="shared" si="52"/>
        <v>0</v>
      </c>
      <c r="AA173" s="26">
        <f t="shared" si="53"/>
        <v>0</v>
      </c>
      <c r="AB173" s="26">
        <f t="shared" si="54"/>
        <v>0</v>
      </c>
      <c r="AC173" s="26">
        <f t="shared" si="55"/>
        <v>0</v>
      </c>
      <c r="AD173" s="26">
        <f t="shared" si="56"/>
        <v>0</v>
      </c>
      <c r="AE173" s="26">
        <f t="shared" si="57"/>
        <v>0</v>
      </c>
      <c r="AF173" s="26">
        <f t="shared" si="58"/>
        <v>0</v>
      </c>
      <c r="AG173" s="26">
        <f t="shared" si="59"/>
        <v>0</v>
      </c>
      <c r="AH173" s="24" t="s">
        <v>273</v>
      </c>
      <c r="AI173" s="16">
        <f t="shared" si="60"/>
        <v>0</v>
      </c>
      <c r="AJ173" s="16">
        <f t="shared" si="61"/>
        <v>0</v>
      </c>
      <c r="AK173" s="16">
        <f t="shared" si="62"/>
        <v>0</v>
      </c>
      <c r="AM173" s="26">
        <v>15</v>
      </c>
      <c r="AN173" s="26">
        <f t="shared" si="63"/>
        <v>0</v>
      </c>
      <c r="AO173" s="26">
        <f t="shared" si="64"/>
        <v>0</v>
      </c>
      <c r="AP173" s="27" t="s">
        <v>13</v>
      </c>
      <c r="AU173" s="26">
        <f t="shared" si="65"/>
        <v>0</v>
      </c>
      <c r="AV173" s="26">
        <f t="shared" si="66"/>
        <v>0</v>
      </c>
      <c r="AW173" s="26">
        <f t="shared" si="67"/>
        <v>0</v>
      </c>
      <c r="AX173" s="29" t="s">
        <v>896</v>
      </c>
      <c r="AY173" s="29" t="s">
        <v>927</v>
      </c>
      <c r="AZ173" s="24" t="s">
        <v>937</v>
      </c>
      <c r="BB173" s="26">
        <f t="shared" si="68"/>
        <v>0</v>
      </c>
      <c r="BC173" s="26">
        <f t="shared" si="69"/>
        <v>0</v>
      </c>
      <c r="BD173" s="26">
        <v>0</v>
      </c>
      <c r="BE173" s="26">
        <f t="shared" si="70"/>
        <v>0.07060999999999999</v>
      </c>
      <c r="BG173" s="16">
        <f t="shared" si="71"/>
        <v>0</v>
      </c>
      <c r="BH173" s="16">
        <f t="shared" si="72"/>
        <v>0</v>
      </c>
      <c r="BI173" s="16">
        <f t="shared" si="73"/>
        <v>0</v>
      </c>
      <c r="BJ173" s="16" t="s">
        <v>945</v>
      </c>
      <c r="BK173" s="26">
        <v>764</v>
      </c>
    </row>
    <row r="174" spans="1:63" ht="12.75">
      <c r="A174" s="4" t="s">
        <v>92</v>
      </c>
      <c r="B174" s="12" t="s">
        <v>273</v>
      </c>
      <c r="C174" s="53" t="s">
        <v>361</v>
      </c>
      <c r="D174" s="230" t="s">
        <v>642</v>
      </c>
      <c r="E174" s="231"/>
      <c r="F174" s="62" t="s">
        <v>847</v>
      </c>
      <c r="G174" s="104">
        <v>20</v>
      </c>
      <c r="H174" s="104"/>
      <c r="I174" s="16">
        <f t="shared" si="48"/>
        <v>0</v>
      </c>
      <c r="J174" s="16">
        <f t="shared" si="49"/>
        <v>0</v>
      </c>
      <c r="K174" s="126">
        <f t="shared" si="50"/>
        <v>0</v>
      </c>
      <c r="L174" s="16">
        <v>0.00751</v>
      </c>
      <c r="M174" s="16">
        <f t="shared" si="51"/>
        <v>0.1502</v>
      </c>
      <c r="N174" s="5"/>
      <c r="Y174" s="26">
        <f t="shared" si="52"/>
        <v>0</v>
      </c>
      <c r="AA174" s="26">
        <f t="shared" si="53"/>
        <v>0</v>
      </c>
      <c r="AB174" s="26">
        <f t="shared" si="54"/>
        <v>0</v>
      </c>
      <c r="AC174" s="26">
        <f t="shared" si="55"/>
        <v>0</v>
      </c>
      <c r="AD174" s="26">
        <f t="shared" si="56"/>
        <v>0</v>
      </c>
      <c r="AE174" s="26">
        <f t="shared" si="57"/>
        <v>0</v>
      </c>
      <c r="AF174" s="26">
        <f t="shared" si="58"/>
        <v>0</v>
      </c>
      <c r="AG174" s="26">
        <f t="shared" si="59"/>
        <v>0</v>
      </c>
      <c r="AH174" s="24" t="s">
        <v>273</v>
      </c>
      <c r="AI174" s="16">
        <f t="shared" si="60"/>
        <v>0</v>
      </c>
      <c r="AJ174" s="16">
        <f t="shared" si="61"/>
        <v>0</v>
      </c>
      <c r="AK174" s="16">
        <f t="shared" si="62"/>
        <v>0</v>
      </c>
      <c r="AM174" s="26">
        <v>15</v>
      </c>
      <c r="AN174" s="26">
        <f t="shared" si="63"/>
        <v>0</v>
      </c>
      <c r="AO174" s="26">
        <f t="shared" si="64"/>
        <v>0</v>
      </c>
      <c r="AP174" s="27" t="s">
        <v>13</v>
      </c>
      <c r="AU174" s="26">
        <f t="shared" si="65"/>
        <v>0</v>
      </c>
      <c r="AV174" s="26">
        <f t="shared" si="66"/>
        <v>0</v>
      </c>
      <c r="AW174" s="26">
        <f t="shared" si="67"/>
        <v>0</v>
      </c>
      <c r="AX174" s="29" t="s">
        <v>896</v>
      </c>
      <c r="AY174" s="29" t="s">
        <v>927</v>
      </c>
      <c r="AZ174" s="24" t="s">
        <v>937</v>
      </c>
      <c r="BB174" s="26">
        <f t="shared" si="68"/>
        <v>0</v>
      </c>
      <c r="BC174" s="26">
        <f t="shared" si="69"/>
        <v>0</v>
      </c>
      <c r="BD174" s="26">
        <v>0</v>
      </c>
      <c r="BE174" s="26">
        <f t="shared" si="70"/>
        <v>0.1502</v>
      </c>
      <c r="BG174" s="16">
        <f t="shared" si="71"/>
        <v>0</v>
      </c>
      <c r="BH174" s="16">
        <f t="shared" si="72"/>
        <v>0</v>
      </c>
      <c r="BI174" s="16">
        <f t="shared" si="73"/>
        <v>0</v>
      </c>
      <c r="BJ174" s="16" t="s">
        <v>945</v>
      </c>
      <c r="BK174" s="26">
        <v>764</v>
      </c>
    </row>
    <row r="175" spans="1:63" ht="12.75">
      <c r="A175" s="4" t="s">
        <v>93</v>
      </c>
      <c r="B175" s="12" t="s">
        <v>273</v>
      </c>
      <c r="C175" s="53" t="s">
        <v>362</v>
      </c>
      <c r="D175" s="230" t="s">
        <v>643</v>
      </c>
      <c r="E175" s="231"/>
      <c r="F175" s="62" t="s">
        <v>850</v>
      </c>
      <c r="G175" s="104">
        <v>40</v>
      </c>
      <c r="H175" s="104"/>
      <c r="I175" s="16">
        <f t="shared" si="48"/>
        <v>0</v>
      </c>
      <c r="J175" s="16">
        <f t="shared" si="49"/>
        <v>0</v>
      </c>
      <c r="K175" s="126">
        <f t="shared" si="50"/>
        <v>0</v>
      </c>
      <c r="L175" s="16">
        <v>0.00096</v>
      </c>
      <c r="M175" s="16">
        <f t="shared" si="51"/>
        <v>0.038400000000000004</v>
      </c>
      <c r="N175" s="5"/>
      <c r="Y175" s="26">
        <f t="shared" si="52"/>
        <v>0</v>
      </c>
      <c r="AA175" s="26">
        <f t="shared" si="53"/>
        <v>0</v>
      </c>
      <c r="AB175" s="26">
        <f t="shared" si="54"/>
        <v>0</v>
      </c>
      <c r="AC175" s="26">
        <f t="shared" si="55"/>
        <v>0</v>
      </c>
      <c r="AD175" s="26">
        <f t="shared" si="56"/>
        <v>0</v>
      </c>
      <c r="AE175" s="26">
        <f t="shared" si="57"/>
        <v>0</v>
      </c>
      <c r="AF175" s="26">
        <f t="shared" si="58"/>
        <v>0</v>
      </c>
      <c r="AG175" s="26">
        <f t="shared" si="59"/>
        <v>0</v>
      </c>
      <c r="AH175" s="24" t="s">
        <v>273</v>
      </c>
      <c r="AI175" s="16">
        <f t="shared" si="60"/>
        <v>0</v>
      </c>
      <c r="AJ175" s="16">
        <f t="shared" si="61"/>
        <v>0</v>
      </c>
      <c r="AK175" s="16">
        <f t="shared" si="62"/>
        <v>0</v>
      </c>
      <c r="AM175" s="26">
        <v>15</v>
      </c>
      <c r="AN175" s="26">
        <f t="shared" si="63"/>
        <v>0</v>
      </c>
      <c r="AO175" s="26">
        <f t="shared" si="64"/>
        <v>0</v>
      </c>
      <c r="AP175" s="27" t="s">
        <v>13</v>
      </c>
      <c r="AU175" s="26">
        <f t="shared" si="65"/>
        <v>0</v>
      </c>
      <c r="AV175" s="26">
        <f t="shared" si="66"/>
        <v>0</v>
      </c>
      <c r="AW175" s="26">
        <f t="shared" si="67"/>
        <v>0</v>
      </c>
      <c r="AX175" s="29" t="s">
        <v>896</v>
      </c>
      <c r="AY175" s="29" t="s">
        <v>927</v>
      </c>
      <c r="AZ175" s="24" t="s">
        <v>937</v>
      </c>
      <c r="BB175" s="26">
        <f t="shared" si="68"/>
        <v>0</v>
      </c>
      <c r="BC175" s="26">
        <f t="shared" si="69"/>
        <v>0</v>
      </c>
      <c r="BD175" s="26">
        <v>0</v>
      </c>
      <c r="BE175" s="26">
        <f t="shared" si="70"/>
        <v>0.038400000000000004</v>
      </c>
      <c r="BG175" s="16">
        <f t="shared" si="71"/>
        <v>0</v>
      </c>
      <c r="BH175" s="16">
        <f t="shared" si="72"/>
        <v>0</v>
      </c>
      <c r="BI175" s="16">
        <f t="shared" si="73"/>
        <v>0</v>
      </c>
      <c r="BJ175" s="16" t="s">
        <v>945</v>
      </c>
      <c r="BK175" s="26">
        <v>764</v>
      </c>
    </row>
    <row r="176" spans="1:63" ht="12.75">
      <c r="A176" s="4" t="s">
        <v>94</v>
      </c>
      <c r="B176" s="12" t="s">
        <v>273</v>
      </c>
      <c r="C176" s="53" t="s">
        <v>363</v>
      </c>
      <c r="D176" s="230" t="s">
        <v>644</v>
      </c>
      <c r="E176" s="231"/>
      <c r="F176" s="62" t="s">
        <v>846</v>
      </c>
      <c r="G176" s="104">
        <v>38.9</v>
      </c>
      <c r="H176" s="104"/>
      <c r="I176" s="16">
        <f t="shared" si="48"/>
        <v>0</v>
      </c>
      <c r="J176" s="16">
        <f t="shared" si="49"/>
        <v>0</v>
      </c>
      <c r="K176" s="126">
        <f t="shared" si="50"/>
        <v>0</v>
      </c>
      <c r="L176" s="16">
        <v>0.00336</v>
      </c>
      <c r="M176" s="16">
        <f t="shared" si="51"/>
        <v>0.130704</v>
      </c>
      <c r="N176" s="5"/>
      <c r="Y176" s="26">
        <f t="shared" si="52"/>
        <v>0</v>
      </c>
      <c r="AA176" s="26">
        <f t="shared" si="53"/>
        <v>0</v>
      </c>
      <c r="AB176" s="26">
        <f t="shared" si="54"/>
        <v>0</v>
      </c>
      <c r="AC176" s="26">
        <f t="shared" si="55"/>
        <v>0</v>
      </c>
      <c r="AD176" s="26">
        <f t="shared" si="56"/>
        <v>0</v>
      </c>
      <c r="AE176" s="26">
        <f t="shared" si="57"/>
        <v>0</v>
      </c>
      <c r="AF176" s="26">
        <f t="shared" si="58"/>
        <v>0</v>
      </c>
      <c r="AG176" s="26">
        <f t="shared" si="59"/>
        <v>0</v>
      </c>
      <c r="AH176" s="24" t="s">
        <v>273</v>
      </c>
      <c r="AI176" s="16">
        <f t="shared" si="60"/>
        <v>0</v>
      </c>
      <c r="AJ176" s="16">
        <f t="shared" si="61"/>
        <v>0</v>
      </c>
      <c r="AK176" s="16">
        <f t="shared" si="62"/>
        <v>0</v>
      </c>
      <c r="AM176" s="26">
        <v>15</v>
      </c>
      <c r="AN176" s="26">
        <f t="shared" si="63"/>
        <v>0</v>
      </c>
      <c r="AO176" s="26">
        <f t="shared" si="64"/>
        <v>0</v>
      </c>
      <c r="AP176" s="27" t="s">
        <v>13</v>
      </c>
      <c r="AU176" s="26">
        <f t="shared" si="65"/>
        <v>0</v>
      </c>
      <c r="AV176" s="26">
        <f t="shared" si="66"/>
        <v>0</v>
      </c>
      <c r="AW176" s="26">
        <f t="shared" si="67"/>
        <v>0</v>
      </c>
      <c r="AX176" s="29" t="s">
        <v>896</v>
      </c>
      <c r="AY176" s="29" t="s">
        <v>927</v>
      </c>
      <c r="AZ176" s="24" t="s">
        <v>937</v>
      </c>
      <c r="BB176" s="26">
        <f t="shared" si="68"/>
        <v>0</v>
      </c>
      <c r="BC176" s="26">
        <f t="shared" si="69"/>
        <v>0</v>
      </c>
      <c r="BD176" s="26">
        <v>0</v>
      </c>
      <c r="BE176" s="26">
        <f t="shared" si="70"/>
        <v>0.130704</v>
      </c>
      <c r="BG176" s="16">
        <f t="shared" si="71"/>
        <v>0</v>
      </c>
      <c r="BH176" s="16">
        <f t="shared" si="72"/>
        <v>0</v>
      </c>
      <c r="BI176" s="16">
        <f t="shared" si="73"/>
        <v>0</v>
      </c>
      <c r="BJ176" s="16" t="s">
        <v>945</v>
      </c>
      <c r="BK176" s="26">
        <v>764</v>
      </c>
    </row>
    <row r="177" spans="1:63" ht="12.75">
      <c r="A177" s="4" t="s">
        <v>95</v>
      </c>
      <c r="B177" s="12" t="s">
        <v>273</v>
      </c>
      <c r="C177" s="53" t="s">
        <v>364</v>
      </c>
      <c r="D177" s="230" t="s">
        <v>645</v>
      </c>
      <c r="E177" s="231"/>
      <c r="F177" s="62" t="s">
        <v>846</v>
      </c>
      <c r="G177" s="104">
        <v>48.6</v>
      </c>
      <c r="H177" s="104"/>
      <c r="I177" s="16">
        <f t="shared" si="48"/>
        <v>0</v>
      </c>
      <c r="J177" s="16">
        <f t="shared" si="49"/>
        <v>0</v>
      </c>
      <c r="K177" s="126">
        <f t="shared" si="50"/>
        <v>0</v>
      </c>
      <c r="L177" s="16">
        <v>0.00226</v>
      </c>
      <c r="M177" s="16">
        <f t="shared" si="51"/>
        <v>0.109836</v>
      </c>
      <c r="N177" s="5"/>
      <c r="Y177" s="26">
        <f t="shared" si="52"/>
        <v>0</v>
      </c>
      <c r="AA177" s="26">
        <f t="shared" si="53"/>
        <v>0</v>
      </c>
      <c r="AB177" s="26">
        <f t="shared" si="54"/>
        <v>0</v>
      </c>
      <c r="AC177" s="26">
        <f t="shared" si="55"/>
        <v>0</v>
      </c>
      <c r="AD177" s="26">
        <f t="shared" si="56"/>
        <v>0</v>
      </c>
      <c r="AE177" s="26">
        <f t="shared" si="57"/>
        <v>0</v>
      </c>
      <c r="AF177" s="26">
        <f t="shared" si="58"/>
        <v>0</v>
      </c>
      <c r="AG177" s="26">
        <f t="shared" si="59"/>
        <v>0</v>
      </c>
      <c r="AH177" s="24" t="s">
        <v>273</v>
      </c>
      <c r="AI177" s="16">
        <f t="shared" si="60"/>
        <v>0</v>
      </c>
      <c r="AJ177" s="16">
        <f t="shared" si="61"/>
        <v>0</v>
      </c>
      <c r="AK177" s="16">
        <f t="shared" si="62"/>
        <v>0</v>
      </c>
      <c r="AM177" s="26">
        <v>15</v>
      </c>
      <c r="AN177" s="26">
        <f t="shared" si="63"/>
        <v>0</v>
      </c>
      <c r="AO177" s="26">
        <f t="shared" si="64"/>
        <v>0</v>
      </c>
      <c r="AP177" s="27" t="s">
        <v>13</v>
      </c>
      <c r="AU177" s="26">
        <f t="shared" si="65"/>
        <v>0</v>
      </c>
      <c r="AV177" s="26">
        <f t="shared" si="66"/>
        <v>0</v>
      </c>
      <c r="AW177" s="26">
        <f t="shared" si="67"/>
        <v>0</v>
      </c>
      <c r="AX177" s="29" t="s">
        <v>896</v>
      </c>
      <c r="AY177" s="29" t="s">
        <v>927</v>
      </c>
      <c r="AZ177" s="24" t="s">
        <v>937</v>
      </c>
      <c r="BB177" s="26">
        <f t="shared" si="68"/>
        <v>0</v>
      </c>
      <c r="BC177" s="26">
        <f t="shared" si="69"/>
        <v>0</v>
      </c>
      <c r="BD177" s="26">
        <v>0</v>
      </c>
      <c r="BE177" s="26">
        <f t="shared" si="70"/>
        <v>0.109836</v>
      </c>
      <c r="BG177" s="16">
        <f t="shared" si="71"/>
        <v>0</v>
      </c>
      <c r="BH177" s="16">
        <f t="shared" si="72"/>
        <v>0</v>
      </c>
      <c r="BI177" s="16">
        <f t="shared" si="73"/>
        <v>0</v>
      </c>
      <c r="BJ177" s="16" t="s">
        <v>945</v>
      </c>
      <c r="BK177" s="26">
        <v>764</v>
      </c>
    </row>
    <row r="178" spans="1:63" ht="12.75">
      <c r="A178" s="4" t="s">
        <v>96</v>
      </c>
      <c r="B178" s="12" t="s">
        <v>273</v>
      </c>
      <c r="C178" s="53" t="s">
        <v>365</v>
      </c>
      <c r="D178" s="230" t="s">
        <v>1058</v>
      </c>
      <c r="E178" s="231"/>
      <c r="F178" s="62" t="s">
        <v>846</v>
      </c>
      <c r="G178" s="104">
        <v>8</v>
      </c>
      <c r="H178" s="104"/>
      <c r="I178" s="16">
        <f t="shared" si="48"/>
        <v>0</v>
      </c>
      <c r="J178" s="16">
        <f t="shared" si="49"/>
        <v>0</v>
      </c>
      <c r="K178" s="126">
        <f t="shared" si="50"/>
        <v>0</v>
      </c>
      <c r="L178" s="16">
        <v>0.02043</v>
      </c>
      <c r="M178" s="16">
        <f t="shared" si="51"/>
        <v>0.16344</v>
      </c>
      <c r="N178" s="5"/>
      <c r="Y178" s="26">
        <f t="shared" si="52"/>
        <v>0</v>
      </c>
      <c r="AA178" s="26">
        <f t="shared" si="53"/>
        <v>0</v>
      </c>
      <c r="AB178" s="26">
        <f t="shared" si="54"/>
        <v>0</v>
      </c>
      <c r="AC178" s="26">
        <f t="shared" si="55"/>
        <v>0</v>
      </c>
      <c r="AD178" s="26">
        <f t="shared" si="56"/>
        <v>0</v>
      </c>
      <c r="AE178" s="26">
        <f t="shared" si="57"/>
        <v>0</v>
      </c>
      <c r="AF178" s="26">
        <f t="shared" si="58"/>
        <v>0</v>
      </c>
      <c r="AG178" s="26">
        <f t="shared" si="59"/>
        <v>0</v>
      </c>
      <c r="AH178" s="24" t="s">
        <v>273</v>
      </c>
      <c r="AI178" s="16">
        <f t="shared" si="60"/>
        <v>0</v>
      </c>
      <c r="AJ178" s="16">
        <f t="shared" si="61"/>
        <v>0</v>
      </c>
      <c r="AK178" s="16">
        <f t="shared" si="62"/>
        <v>0</v>
      </c>
      <c r="AM178" s="26">
        <v>15</v>
      </c>
      <c r="AN178" s="26">
        <f>H178*0.455721365176247</f>
        <v>0</v>
      </c>
      <c r="AO178" s="26">
        <f>H178*(1-0.455721365176247)</f>
        <v>0</v>
      </c>
      <c r="AP178" s="27" t="s">
        <v>13</v>
      </c>
      <c r="AU178" s="26">
        <f t="shared" si="65"/>
        <v>0</v>
      </c>
      <c r="AV178" s="26">
        <f t="shared" si="66"/>
        <v>0</v>
      </c>
      <c r="AW178" s="26">
        <f t="shared" si="67"/>
        <v>0</v>
      </c>
      <c r="AX178" s="29" t="s">
        <v>896</v>
      </c>
      <c r="AY178" s="29" t="s">
        <v>927</v>
      </c>
      <c r="AZ178" s="24" t="s">
        <v>937</v>
      </c>
      <c r="BB178" s="26">
        <f t="shared" si="68"/>
        <v>0</v>
      </c>
      <c r="BC178" s="26">
        <f t="shared" si="69"/>
        <v>0</v>
      </c>
      <c r="BD178" s="26">
        <v>0</v>
      </c>
      <c r="BE178" s="26">
        <f t="shared" si="70"/>
        <v>0.16344</v>
      </c>
      <c r="BG178" s="16">
        <f t="shared" si="71"/>
        <v>0</v>
      </c>
      <c r="BH178" s="16">
        <f t="shared" si="72"/>
        <v>0</v>
      </c>
      <c r="BI178" s="16">
        <f t="shared" si="73"/>
        <v>0</v>
      </c>
      <c r="BJ178" s="16" t="s">
        <v>945</v>
      </c>
      <c r="BK178" s="26">
        <v>764</v>
      </c>
    </row>
    <row r="179" spans="1:14" s="58" customFormat="1" ht="12.75">
      <c r="A179" s="57"/>
      <c r="C179" s="59" t="s">
        <v>1004</v>
      </c>
      <c r="D179" s="234" t="s">
        <v>646</v>
      </c>
      <c r="E179" s="235"/>
      <c r="F179" s="235"/>
      <c r="G179" s="235"/>
      <c r="H179" s="235"/>
      <c r="I179" s="235"/>
      <c r="J179" s="235"/>
      <c r="K179" s="235"/>
      <c r="L179" s="235"/>
      <c r="M179" s="235"/>
      <c r="N179" s="57"/>
    </row>
    <row r="180" spans="1:63" ht="12.75">
      <c r="A180" s="4" t="s">
        <v>97</v>
      </c>
      <c r="B180" s="12" t="s">
        <v>273</v>
      </c>
      <c r="C180" s="53" t="s">
        <v>366</v>
      </c>
      <c r="D180" s="230" t="s">
        <v>647</v>
      </c>
      <c r="E180" s="231"/>
      <c r="F180" s="62" t="s">
        <v>846</v>
      </c>
      <c r="G180" s="104">
        <v>17.88</v>
      </c>
      <c r="H180" s="104"/>
      <c r="I180" s="16">
        <f>G180*AN180</f>
        <v>0</v>
      </c>
      <c r="J180" s="16">
        <f>G180*AO180</f>
        <v>0</v>
      </c>
      <c r="K180" s="126">
        <f>G180*H180</f>
        <v>0</v>
      </c>
      <c r="L180" s="16">
        <v>0.02751</v>
      </c>
      <c r="M180" s="16">
        <f>G180*L180</f>
        <v>0.49187879999999995</v>
      </c>
      <c r="N180" s="5"/>
      <c r="Y180" s="26">
        <f>IF(AP180="5",BI180,0)</f>
        <v>0</v>
      </c>
      <c r="AA180" s="26">
        <f>IF(AP180="1",BG180,0)</f>
        <v>0</v>
      </c>
      <c r="AB180" s="26">
        <f>IF(AP180="1",BH180,0)</f>
        <v>0</v>
      </c>
      <c r="AC180" s="26">
        <f>IF(AP180="7",BG180,0)</f>
        <v>0</v>
      </c>
      <c r="AD180" s="26">
        <f>IF(AP180="7",BH180,0)</f>
        <v>0</v>
      </c>
      <c r="AE180" s="26">
        <f>IF(AP180="2",BG180,0)</f>
        <v>0</v>
      </c>
      <c r="AF180" s="26">
        <f>IF(AP180="2",BH180,0)</f>
        <v>0</v>
      </c>
      <c r="AG180" s="26">
        <f>IF(AP180="0",BI180,0)</f>
        <v>0</v>
      </c>
      <c r="AH180" s="24" t="s">
        <v>273</v>
      </c>
      <c r="AI180" s="16">
        <f>IF(AM180=0,K180,0)</f>
        <v>0</v>
      </c>
      <c r="AJ180" s="16">
        <f>IF(AM180=15,K180,0)</f>
        <v>0</v>
      </c>
      <c r="AK180" s="16">
        <f>IF(AM180=21,K180,0)</f>
        <v>0</v>
      </c>
      <c r="AM180" s="26">
        <v>15</v>
      </c>
      <c r="AN180" s="26">
        <f>H180*0.466888943842325</f>
        <v>0</v>
      </c>
      <c r="AO180" s="26">
        <f>H180*(1-0.466888943842325)</f>
        <v>0</v>
      </c>
      <c r="AP180" s="27" t="s">
        <v>13</v>
      </c>
      <c r="AU180" s="26">
        <f>AV180+AW180</f>
        <v>0</v>
      </c>
      <c r="AV180" s="26">
        <f>G180*AN180</f>
        <v>0</v>
      </c>
      <c r="AW180" s="26">
        <f>G180*AO180</f>
        <v>0</v>
      </c>
      <c r="AX180" s="29" t="s">
        <v>896</v>
      </c>
      <c r="AY180" s="29" t="s">
        <v>927</v>
      </c>
      <c r="AZ180" s="24" t="s">
        <v>937</v>
      </c>
      <c r="BB180" s="26">
        <f>AV180+AW180</f>
        <v>0</v>
      </c>
      <c r="BC180" s="26">
        <f>H180/(100-BD180)*100</f>
        <v>0</v>
      </c>
      <c r="BD180" s="26">
        <v>0</v>
      </c>
      <c r="BE180" s="26">
        <f>M180</f>
        <v>0.49187879999999995</v>
      </c>
      <c r="BG180" s="16">
        <f>G180*AN180</f>
        <v>0</v>
      </c>
      <c r="BH180" s="16">
        <f>G180*AO180</f>
        <v>0</v>
      </c>
      <c r="BI180" s="16">
        <f>G180*H180</f>
        <v>0</v>
      </c>
      <c r="BJ180" s="16" t="s">
        <v>945</v>
      </c>
      <c r="BK180" s="26">
        <v>764</v>
      </c>
    </row>
    <row r="181" spans="1:14" s="58" customFormat="1" ht="12.75">
      <c r="A181" s="57"/>
      <c r="C181" s="59" t="s">
        <v>1004</v>
      </c>
      <c r="D181" s="234" t="s">
        <v>648</v>
      </c>
      <c r="E181" s="235"/>
      <c r="F181" s="235"/>
      <c r="G181" s="235"/>
      <c r="H181" s="235"/>
      <c r="I181" s="235"/>
      <c r="J181" s="235"/>
      <c r="K181" s="235"/>
      <c r="L181" s="235"/>
      <c r="M181" s="235"/>
      <c r="N181" s="57"/>
    </row>
    <row r="182" spans="1:14" s="58" customFormat="1" ht="12.75">
      <c r="A182" s="57"/>
      <c r="C182" s="59" t="s">
        <v>991</v>
      </c>
      <c r="D182" s="232" t="s">
        <v>1051</v>
      </c>
      <c r="E182" s="233"/>
      <c r="F182" s="233"/>
      <c r="G182" s="233"/>
      <c r="H182" s="233"/>
      <c r="I182" s="233"/>
      <c r="J182" s="233"/>
      <c r="K182" s="233"/>
      <c r="L182" s="233"/>
      <c r="M182" s="233"/>
      <c r="N182" s="57"/>
    </row>
    <row r="183" spans="1:63" ht="12.75">
      <c r="A183" s="4" t="s">
        <v>98</v>
      </c>
      <c r="B183" s="12" t="s">
        <v>273</v>
      </c>
      <c r="C183" s="53" t="s">
        <v>367</v>
      </c>
      <c r="D183" s="230" t="s">
        <v>649</v>
      </c>
      <c r="E183" s="231"/>
      <c r="F183" s="62" t="s">
        <v>846</v>
      </c>
      <c r="G183" s="104">
        <v>55.94</v>
      </c>
      <c r="H183" s="104"/>
      <c r="I183" s="16">
        <f>G183*AN183</f>
        <v>0</v>
      </c>
      <c r="J183" s="16">
        <f>G183*AO183</f>
        <v>0</v>
      </c>
      <c r="K183" s="126">
        <f>G183*H183</f>
        <v>0</v>
      </c>
      <c r="L183" s="16">
        <v>0.01867</v>
      </c>
      <c r="M183" s="16">
        <f>G183*L183</f>
        <v>1.0443997999999999</v>
      </c>
      <c r="N183" s="5"/>
      <c r="Y183" s="26">
        <f>IF(AP183="5",BI183,0)</f>
        <v>0</v>
      </c>
      <c r="AA183" s="26">
        <f>IF(AP183="1",BG183,0)</f>
        <v>0</v>
      </c>
      <c r="AB183" s="26">
        <f>IF(AP183="1",BH183,0)</f>
        <v>0</v>
      </c>
      <c r="AC183" s="26">
        <f>IF(AP183="7",BG183,0)</f>
        <v>0</v>
      </c>
      <c r="AD183" s="26">
        <f>IF(AP183="7",BH183,0)</f>
        <v>0</v>
      </c>
      <c r="AE183" s="26">
        <f>IF(AP183="2",BG183,0)</f>
        <v>0</v>
      </c>
      <c r="AF183" s="26">
        <f>IF(AP183="2",BH183,0)</f>
        <v>0</v>
      </c>
      <c r="AG183" s="26">
        <f>IF(AP183="0",BI183,0)</f>
        <v>0</v>
      </c>
      <c r="AH183" s="24" t="s">
        <v>273</v>
      </c>
      <c r="AI183" s="16">
        <f>IF(AM183=0,K183,0)</f>
        <v>0</v>
      </c>
      <c r="AJ183" s="16">
        <f>IF(AM183=15,K183,0)</f>
        <v>0</v>
      </c>
      <c r="AK183" s="16">
        <f>IF(AM183=21,K183,0)</f>
        <v>0</v>
      </c>
      <c r="AM183" s="26">
        <v>15</v>
      </c>
      <c r="AN183" s="26">
        <f>H183*0.425286928733902</f>
        <v>0</v>
      </c>
      <c r="AO183" s="26">
        <f>H183*(1-0.425286928733902)</f>
        <v>0</v>
      </c>
      <c r="AP183" s="27" t="s">
        <v>13</v>
      </c>
      <c r="AU183" s="26">
        <f>AV183+AW183</f>
        <v>0</v>
      </c>
      <c r="AV183" s="26">
        <f>G183*AN183</f>
        <v>0</v>
      </c>
      <c r="AW183" s="26">
        <f>G183*AO183</f>
        <v>0</v>
      </c>
      <c r="AX183" s="29" t="s">
        <v>896</v>
      </c>
      <c r="AY183" s="29" t="s">
        <v>927</v>
      </c>
      <c r="AZ183" s="24" t="s">
        <v>937</v>
      </c>
      <c r="BB183" s="26">
        <f>AV183+AW183</f>
        <v>0</v>
      </c>
      <c r="BC183" s="26">
        <f>H183/(100-BD183)*100</f>
        <v>0</v>
      </c>
      <c r="BD183" s="26">
        <v>0</v>
      </c>
      <c r="BE183" s="26">
        <f>M183</f>
        <v>1.0443997999999999</v>
      </c>
      <c r="BG183" s="16">
        <f>G183*AN183</f>
        <v>0</v>
      </c>
      <c r="BH183" s="16">
        <f>G183*AO183</f>
        <v>0</v>
      </c>
      <c r="BI183" s="16">
        <f>G183*H183</f>
        <v>0</v>
      </c>
      <c r="BJ183" s="16" t="s">
        <v>945</v>
      </c>
      <c r="BK183" s="26">
        <v>764</v>
      </c>
    </row>
    <row r="184" spans="1:14" s="58" customFormat="1" ht="12.75">
      <c r="A184" s="57"/>
      <c r="C184" s="59" t="s">
        <v>1004</v>
      </c>
      <c r="D184" s="234" t="s">
        <v>650</v>
      </c>
      <c r="E184" s="235"/>
      <c r="F184" s="235"/>
      <c r="G184" s="235"/>
      <c r="H184" s="235"/>
      <c r="I184" s="235"/>
      <c r="J184" s="235"/>
      <c r="K184" s="235"/>
      <c r="L184" s="235"/>
      <c r="M184" s="235"/>
      <c r="N184" s="57"/>
    </row>
    <row r="185" spans="1:14" s="58" customFormat="1" ht="12.75">
      <c r="A185" s="57"/>
      <c r="C185" s="59" t="s">
        <v>991</v>
      </c>
      <c r="D185" s="232" t="s">
        <v>1051</v>
      </c>
      <c r="E185" s="233"/>
      <c r="F185" s="233"/>
      <c r="G185" s="233"/>
      <c r="H185" s="233"/>
      <c r="I185" s="233"/>
      <c r="J185" s="233"/>
      <c r="K185" s="233"/>
      <c r="L185" s="233"/>
      <c r="M185" s="233"/>
      <c r="N185" s="57"/>
    </row>
    <row r="186" spans="1:63" ht="12.75">
      <c r="A186" s="4" t="s">
        <v>99</v>
      </c>
      <c r="B186" s="12" t="s">
        <v>273</v>
      </c>
      <c r="C186" s="53" t="s">
        <v>368</v>
      </c>
      <c r="D186" s="230" t="s">
        <v>651</v>
      </c>
      <c r="E186" s="231"/>
      <c r="F186" s="62" t="s">
        <v>850</v>
      </c>
      <c r="G186" s="104">
        <v>2</v>
      </c>
      <c r="H186" s="104"/>
      <c r="I186" s="16">
        <f>G186*AN186</f>
        <v>0</v>
      </c>
      <c r="J186" s="16">
        <f>G186*AO186</f>
        <v>0</v>
      </c>
      <c r="K186" s="126">
        <f>G186*H186</f>
        <v>0</v>
      </c>
      <c r="L186" s="16">
        <v>0.00165</v>
      </c>
      <c r="M186" s="16">
        <f>G186*L186</f>
        <v>0.0033</v>
      </c>
      <c r="N186" s="5"/>
      <c r="Y186" s="26">
        <f>IF(AP186="5",BI186,0)</f>
        <v>0</v>
      </c>
      <c r="AA186" s="26">
        <f>IF(AP186="1",BG186,0)</f>
        <v>0</v>
      </c>
      <c r="AB186" s="26">
        <f>IF(AP186="1",BH186,0)</f>
        <v>0</v>
      </c>
      <c r="AC186" s="26">
        <f>IF(AP186="7",BG186,0)</f>
        <v>0</v>
      </c>
      <c r="AD186" s="26">
        <f>IF(AP186="7",BH186,0)</f>
        <v>0</v>
      </c>
      <c r="AE186" s="26">
        <f>IF(AP186="2",BG186,0)</f>
        <v>0</v>
      </c>
      <c r="AF186" s="26">
        <f>IF(AP186="2",BH186,0)</f>
        <v>0</v>
      </c>
      <c r="AG186" s="26">
        <f>IF(AP186="0",BI186,0)</f>
        <v>0</v>
      </c>
      <c r="AH186" s="24" t="s">
        <v>273</v>
      </c>
      <c r="AI186" s="16">
        <f>IF(AM186=0,K186,0)</f>
        <v>0</v>
      </c>
      <c r="AJ186" s="16">
        <f>IF(AM186=15,K186,0)</f>
        <v>0</v>
      </c>
      <c r="AK186" s="16">
        <f>IF(AM186=21,K186,0)</f>
        <v>0</v>
      </c>
      <c r="AM186" s="26">
        <v>15</v>
      </c>
      <c r="AN186" s="26">
        <f>H186*0.308986292692369</f>
        <v>0</v>
      </c>
      <c r="AO186" s="26">
        <f>H186*(1-0.308986292692369)</f>
        <v>0</v>
      </c>
      <c r="AP186" s="27" t="s">
        <v>13</v>
      </c>
      <c r="AU186" s="26">
        <f>AV186+AW186</f>
        <v>0</v>
      </c>
      <c r="AV186" s="26">
        <f>G186*AN186</f>
        <v>0</v>
      </c>
      <c r="AW186" s="26">
        <f>G186*AO186</f>
        <v>0</v>
      </c>
      <c r="AX186" s="29" t="s">
        <v>896</v>
      </c>
      <c r="AY186" s="29" t="s">
        <v>927</v>
      </c>
      <c r="AZ186" s="24" t="s">
        <v>937</v>
      </c>
      <c r="BB186" s="26">
        <f>AV186+AW186</f>
        <v>0</v>
      </c>
      <c r="BC186" s="26">
        <f>H186/(100-BD186)*100</f>
        <v>0</v>
      </c>
      <c r="BD186" s="26">
        <v>0</v>
      </c>
      <c r="BE186" s="26">
        <f>M186</f>
        <v>0.0033</v>
      </c>
      <c r="BG186" s="16">
        <f>G186*AN186</f>
        <v>0</v>
      </c>
      <c r="BH186" s="16">
        <f>G186*AO186</f>
        <v>0</v>
      </c>
      <c r="BI186" s="16">
        <f>G186*H186</f>
        <v>0</v>
      </c>
      <c r="BJ186" s="16" t="s">
        <v>945</v>
      </c>
      <c r="BK186" s="26">
        <v>764</v>
      </c>
    </row>
    <row r="187" spans="1:63" ht="12.75">
      <c r="A187" s="4" t="s">
        <v>100</v>
      </c>
      <c r="B187" s="12" t="s">
        <v>273</v>
      </c>
      <c r="C187" s="53" t="s">
        <v>369</v>
      </c>
      <c r="D187" s="230" t="s">
        <v>652</v>
      </c>
      <c r="E187" s="231"/>
      <c r="F187" s="62" t="s">
        <v>850</v>
      </c>
      <c r="G187" s="104">
        <v>40</v>
      </c>
      <c r="H187" s="104"/>
      <c r="I187" s="16">
        <f>G187*AN187</f>
        <v>0</v>
      </c>
      <c r="J187" s="16">
        <f>G187*AO187</f>
        <v>0</v>
      </c>
      <c r="K187" s="126">
        <f>G187*H187</f>
        <v>0</v>
      </c>
      <c r="L187" s="16">
        <v>5E-05</v>
      </c>
      <c r="M187" s="16">
        <f>G187*L187</f>
        <v>0.002</v>
      </c>
      <c r="N187" s="5"/>
      <c r="Y187" s="26">
        <f>IF(AP187="5",BI187,0)</f>
        <v>0</v>
      </c>
      <c r="AA187" s="26">
        <f>IF(AP187="1",BG187,0)</f>
        <v>0</v>
      </c>
      <c r="AB187" s="26">
        <f>IF(AP187="1",BH187,0)</f>
        <v>0</v>
      </c>
      <c r="AC187" s="26">
        <f>IF(AP187="7",BG187,0)</f>
        <v>0</v>
      </c>
      <c r="AD187" s="26">
        <f>IF(AP187="7",BH187,0)</f>
        <v>0</v>
      </c>
      <c r="AE187" s="26">
        <f>IF(AP187="2",BG187,0)</f>
        <v>0</v>
      </c>
      <c r="AF187" s="26">
        <f>IF(AP187="2",BH187,0)</f>
        <v>0</v>
      </c>
      <c r="AG187" s="26">
        <f>IF(AP187="0",BI187,0)</f>
        <v>0</v>
      </c>
      <c r="AH187" s="24" t="s">
        <v>273</v>
      </c>
      <c r="AI187" s="16">
        <f>IF(AM187=0,K187,0)</f>
        <v>0</v>
      </c>
      <c r="AJ187" s="16">
        <f>IF(AM187=15,K187,0)</f>
        <v>0</v>
      </c>
      <c r="AK187" s="16">
        <f>IF(AM187=21,K187,0)</f>
        <v>0</v>
      </c>
      <c r="AM187" s="26">
        <v>15</v>
      </c>
      <c r="AN187" s="26">
        <f>H187*0.697579270371633</f>
        <v>0</v>
      </c>
      <c r="AO187" s="26">
        <f>H187*(1-0.697579270371633)</f>
        <v>0</v>
      </c>
      <c r="AP187" s="27" t="s">
        <v>13</v>
      </c>
      <c r="AU187" s="26">
        <f>AV187+AW187</f>
        <v>0</v>
      </c>
      <c r="AV187" s="26">
        <f>G187*AN187</f>
        <v>0</v>
      </c>
      <c r="AW187" s="26">
        <f>G187*AO187</f>
        <v>0</v>
      </c>
      <c r="AX187" s="29" t="s">
        <v>896</v>
      </c>
      <c r="AY187" s="29" t="s">
        <v>927</v>
      </c>
      <c r="AZ187" s="24" t="s">
        <v>937</v>
      </c>
      <c r="BB187" s="26">
        <f>AV187+AW187</f>
        <v>0</v>
      </c>
      <c r="BC187" s="26">
        <f>H187/(100-BD187)*100</f>
        <v>0</v>
      </c>
      <c r="BD187" s="26">
        <v>0</v>
      </c>
      <c r="BE187" s="26">
        <f>M187</f>
        <v>0.002</v>
      </c>
      <c r="BG187" s="16">
        <f>G187*AN187</f>
        <v>0</v>
      </c>
      <c r="BH187" s="16">
        <f>G187*AO187</f>
        <v>0</v>
      </c>
      <c r="BI187" s="16">
        <f>G187*H187</f>
        <v>0</v>
      </c>
      <c r="BJ187" s="16" t="s">
        <v>945</v>
      </c>
      <c r="BK187" s="26">
        <v>764</v>
      </c>
    </row>
    <row r="188" spans="1:14" s="58" customFormat="1" ht="12.75">
      <c r="A188" s="57"/>
      <c r="C188" s="59" t="s">
        <v>991</v>
      </c>
      <c r="D188" s="232" t="s">
        <v>1053</v>
      </c>
      <c r="E188" s="233"/>
      <c r="F188" s="233"/>
      <c r="G188" s="233"/>
      <c r="H188" s="233"/>
      <c r="I188" s="233"/>
      <c r="J188" s="233"/>
      <c r="K188" s="233"/>
      <c r="L188" s="233"/>
      <c r="M188" s="233"/>
      <c r="N188" s="57"/>
    </row>
    <row r="189" spans="1:63" ht="12.75">
      <c r="A189" s="4" t="s">
        <v>101</v>
      </c>
      <c r="B189" s="12" t="s">
        <v>273</v>
      </c>
      <c r="C189" s="53" t="s">
        <v>370</v>
      </c>
      <c r="D189" s="230" t="s">
        <v>653</v>
      </c>
      <c r="E189" s="231"/>
      <c r="F189" s="62" t="s">
        <v>846</v>
      </c>
      <c r="G189" s="104">
        <v>30.7</v>
      </c>
      <c r="H189" s="104"/>
      <c r="I189" s="16">
        <f>G189*AN189</f>
        <v>0</v>
      </c>
      <c r="J189" s="16">
        <f>G189*AO189</f>
        <v>0</v>
      </c>
      <c r="K189" s="126">
        <f>G189*H189</f>
        <v>0</v>
      </c>
      <c r="L189" s="16">
        <v>0.04295</v>
      </c>
      <c r="M189" s="16">
        <f>G189*L189</f>
        <v>1.318565</v>
      </c>
      <c r="N189" s="5"/>
      <c r="Y189" s="26">
        <f>IF(AP189="5",BI189,0)</f>
        <v>0</v>
      </c>
      <c r="AA189" s="26">
        <f>IF(AP189="1",BG189,0)</f>
        <v>0</v>
      </c>
      <c r="AB189" s="26">
        <f>IF(AP189="1",BH189,0)</f>
        <v>0</v>
      </c>
      <c r="AC189" s="26">
        <f>IF(AP189="7",BG189,0)</f>
        <v>0</v>
      </c>
      <c r="AD189" s="26">
        <f>IF(AP189="7",BH189,0)</f>
        <v>0</v>
      </c>
      <c r="AE189" s="26">
        <f>IF(AP189="2",BG189,0)</f>
        <v>0</v>
      </c>
      <c r="AF189" s="26">
        <f>IF(AP189="2",BH189,0)</f>
        <v>0</v>
      </c>
      <c r="AG189" s="26">
        <f>IF(AP189="0",BI189,0)</f>
        <v>0</v>
      </c>
      <c r="AH189" s="24" t="s">
        <v>273</v>
      </c>
      <c r="AI189" s="16">
        <f>IF(AM189=0,K189,0)</f>
        <v>0</v>
      </c>
      <c r="AJ189" s="16">
        <f>IF(AM189=15,K189,0)</f>
        <v>0</v>
      </c>
      <c r="AK189" s="16">
        <f>IF(AM189=21,K189,0)</f>
        <v>0</v>
      </c>
      <c r="AM189" s="26">
        <v>15</v>
      </c>
      <c r="AN189" s="26">
        <f>H189*0.497021410745827</f>
        <v>0</v>
      </c>
      <c r="AO189" s="26">
        <f>H189*(1-0.497021410745827)</f>
        <v>0</v>
      </c>
      <c r="AP189" s="27" t="s">
        <v>13</v>
      </c>
      <c r="AU189" s="26">
        <f>AV189+AW189</f>
        <v>0</v>
      </c>
      <c r="AV189" s="26">
        <f>G189*AN189</f>
        <v>0</v>
      </c>
      <c r="AW189" s="26">
        <f>G189*AO189</f>
        <v>0</v>
      </c>
      <c r="AX189" s="29" t="s">
        <v>896</v>
      </c>
      <c r="AY189" s="29" t="s">
        <v>927</v>
      </c>
      <c r="AZ189" s="24" t="s">
        <v>937</v>
      </c>
      <c r="BB189" s="26">
        <f>AV189+AW189</f>
        <v>0</v>
      </c>
      <c r="BC189" s="26">
        <f>H189/(100-BD189)*100</f>
        <v>0</v>
      </c>
      <c r="BD189" s="26">
        <v>0</v>
      </c>
      <c r="BE189" s="26">
        <f>M189</f>
        <v>1.318565</v>
      </c>
      <c r="BG189" s="16">
        <f>G189*AN189</f>
        <v>0</v>
      </c>
      <c r="BH189" s="16">
        <f>G189*AO189</f>
        <v>0</v>
      </c>
      <c r="BI189" s="16">
        <f>G189*H189</f>
        <v>0</v>
      </c>
      <c r="BJ189" s="16" t="s">
        <v>945</v>
      </c>
      <c r="BK189" s="26">
        <v>764</v>
      </c>
    </row>
    <row r="190" spans="1:14" s="58" customFormat="1" ht="12.75">
      <c r="A190" s="57"/>
      <c r="C190" s="59" t="s">
        <v>991</v>
      </c>
      <c r="D190" s="232" t="s">
        <v>1052</v>
      </c>
      <c r="E190" s="233"/>
      <c r="F190" s="233"/>
      <c r="G190" s="233"/>
      <c r="H190" s="233"/>
      <c r="I190" s="233"/>
      <c r="J190" s="233"/>
      <c r="K190" s="233"/>
      <c r="L190" s="233"/>
      <c r="M190" s="233"/>
      <c r="N190" s="57"/>
    </row>
    <row r="191" spans="1:63" ht="12.75">
      <c r="A191" s="4" t="s">
        <v>102</v>
      </c>
      <c r="B191" s="12" t="s">
        <v>273</v>
      </c>
      <c r="C191" s="53" t="s">
        <v>371</v>
      </c>
      <c r="D191" s="230" t="s">
        <v>654</v>
      </c>
      <c r="E191" s="231"/>
      <c r="F191" s="62" t="s">
        <v>846</v>
      </c>
      <c r="G191" s="104">
        <v>5.2</v>
      </c>
      <c r="H191" s="104"/>
      <c r="I191" s="16">
        <f>G191*AN191</f>
        <v>0</v>
      </c>
      <c r="J191" s="16">
        <f>G191*AO191</f>
        <v>0</v>
      </c>
      <c r="K191" s="126">
        <f>G191*H191</f>
        <v>0</v>
      </c>
      <c r="L191" s="16">
        <v>3E-05</v>
      </c>
      <c r="M191" s="16">
        <f>G191*L191</f>
        <v>0.000156</v>
      </c>
      <c r="N191" s="5"/>
      <c r="Y191" s="26">
        <f>IF(AP191="5",BI191,0)</f>
        <v>0</v>
      </c>
      <c r="AA191" s="26">
        <f>IF(AP191="1",BG191,0)</f>
        <v>0</v>
      </c>
      <c r="AB191" s="26">
        <f>IF(AP191="1",BH191,0)</f>
        <v>0</v>
      </c>
      <c r="AC191" s="26">
        <f>IF(AP191="7",BG191,0)</f>
        <v>0</v>
      </c>
      <c r="AD191" s="26">
        <f>IF(AP191="7",BH191,0)</f>
        <v>0</v>
      </c>
      <c r="AE191" s="26">
        <f>IF(AP191="2",BG191,0)</f>
        <v>0</v>
      </c>
      <c r="AF191" s="26">
        <f>IF(AP191="2",BH191,0)</f>
        <v>0</v>
      </c>
      <c r="AG191" s="26">
        <f>IF(AP191="0",BI191,0)</f>
        <v>0</v>
      </c>
      <c r="AH191" s="24" t="s">
        <v>273</v>
      </c>
      <c r="AI191" s="16">
        <f>IF(AM191=0,K191,0)</f>
        <v>0</v>
      </c>
      <c r="AJ191" s="16">
        <f>IF(AM191=15,K191,0)</f>
        <v>0</v>
      </c>
      <c r="AK191" s="16">
        <f>IF(AM191=21,K191,0)</f>
        <v>0</v>
      </c>
      <c r="AM191" s="26">
        <v>15</v>
      </c>
      <c r="AN191" s="26">
        <f>H191*0.679438899605804</f>
        <v>0</v>
      </c>
      <c r="AO191" s="26">
        <f>H191*(1-0.679438899605804)</f>
        <v>0</v>
      </c>
      <c r="AP191" s="27" t="s">
        <v>13</v>
      </c>
      <c r="AU191" s="26">
        <f>AV191+AW191</f>
        <v>0</v>
      </c>
      <c r="AV191" s="26">
        <f>G191*AN191</f>
        <v>0</v>
      </c>
      <c r="AW191" s="26">
        <f>G191*AO191</f>
        <v>0</v>
      </c>
      <c r="AX191" s="29" t="s">
        <v>896</v>
      </c>
      <c r="AY191" s="29" t="s">
        <v>927</v>
      </c>
      <c r="AZ191" s="24" t="s">
        <v>937</v>
      </c>
      <c r="BB191" s="26">
        <f>AV191+AW191</f>
        <v>0</v>
      </c>
      <c r="BC191" s="26">
        <f>H191/(100-BD191)*100</f>
        <v>0</v>
      </c>
      <c r="BD191" s="26">
        <v>0</v>
      </c>
      <c r="BE191" s="26">
        <f>M191</f>
        <v>0.000156</v>
      </c>
      <c r="BG191" s="16">
        <f>G191*AN191</f>
        <v>0</v>
      </c>
      <c r="BH191" s="16">
        <f>G191*AO191</f>
        <v>0</v>
      </c>
      <c r="BI191" s="16">
        <f>G191*H191</f>
        <v>0</v>
      </c>
      <c r="BJ191" s="16" t="s">
        <v>945</v>
      </c>
      <c r="BK191" s="26">
        <v>764</v>
      </c>
    </row>
    <row r="192" spans="1:63" ht="12.75">
      <c r="A192" s="4" t="s">
        <v>103</v>
      </c>
      <c r="B192" s="12" t="s">
        <v>273</v>
      </c>
      <c r="C192" s="53" t="s">
        <v>372</v>
      </c>
      <c r="D192" s="230" t="s">
        <v>655</v>
      </c>
      <c r="E192" s="231"/>
      <c r="F192" s="62" t="s">
        <v>846</v>
      </c>
      <c r="G192" s="104">
        <v>7</v>
      </c>
      <c r="H192" s="104"/>
      <c r="I192" s="16">
        <f>G192*AN192</f>
        <v>0</v>
      </c>
      <c r="J192" s="16">
        <f>G192*AO192</f>
        <v>0</v>
      </c>
      <c r="K192" s="126">
        <f>G192*H192</f>
        <v>0</v>
      </c>
      <c r="L192" s="16">
        <v>0.03267</v>
      </c>
      <c r="M192" s="16">
        <f>G192*L192</f>
        <v>0.22868999999999998</v>
      </c>
      <c r="N192" s="5"/>
      <c r="Y192" s="26">
        <f>IF(AP192="5",BI192,0)</f>
        <v>0</v>
      </c>
      <c r="AA192" s="26">
        <f>IF(AP192="1",BG192,0)</f>
        <v>0</v>
      </c>
      <c r="AB192" s="26">
        <f>IF(AP192="1",BH192,0)</f>
        <v>0</v>
      </c>
      <c r="AC192" s="26">
        <f>IF(AP192="7",BG192,0)</f>
        <v>0</v>
      </c>
      <c r="AD192" s="26">
        <f>IF(AP192="7",BH192,0)</f>
        <v>0</v>
      </c>
      <c r="AE192" s="26">
        <f>IF(AP192="2",BG192,0)</f>
        <v>0</v>
      </c>
      <c r="AF192" s="26">
        <f>IF(AP192="2",BH192,0)</f>
        <v>0</v>
      </c>
      <c r="AG192" s="26">
        <f>IF(AP192="0",BI192,0)</f>
        <v>0</v>
      </c>
      <c r="AH192" s="24" t="s">
        <v>273</v>
      </c>
      <c r="AI192" s="16">
        <f>IF(AM192=0,K192,0)</f>
        <v>0</v>
      </c>
      <c r="AJ192" s="16">
        <f>IF(AM192=15,K192,0)</f>
        <v>0</v>
      </c>
      <c r="AK192" s="16">
        <f>IF(AM192=21,K192,0)</f>
        <v>0</v>
      </c>
      <c r="AM192" s="26">
        <v>15</v>
      </c>
      <c r="AN192" s="26">
        <f>H192*0.461929197118126</f>
        <v>0</v>
      </c>
      <c r="AO192" s="26">
        <f>H192*(1-0.461929197118126)</f>
        <v>0</v>
      </c>
      <c r="AP192" s="27" t="s">
        <v>13</v>
      </c>
      <c r="AU192" s="26">
        <f>AV192+AW192</f>
        <v>0</v>
      </c>
      <c r="AV192" s="26">
        <f>G192*AN192</f>
        <v>0</v>
      </c>
      <c r="AW192" s="26">
        <f>G192*AO192</f>
        <v>0</v>
      </c>
      <c r="AX192" s="29" t="s">
        <v>896</v>
      </c>
      <c r="AY192" s="29" t="s">
        <v>927</v>
      </c>
      <c r="AZ192" s="24" t="s">
        <v>937</v>
      </c>
      <c r="BB192" s="26">
        <f>AV192+AW192</f>
        <v>0</v>
      </c>
      <c r="BC192" s="26">
        <f>H192/(100-BD192)*100</f>
        <v>0</v>
      </c>
      <c r="BD192" s="26">
        <v>0</v>
      </c>
      <c r="BE192" s="26">
        <f>M192</f>
        <v>0.22868999999999998</v>
      </c>
      <c r="BG192" s="16">
        <f>G192*AN192</f>
        <v>0</v>
      </c>
      <c r="BH192" s="16">
        <f>G192*AO192</f>
        <v>0</v>
      </c>
      <c r="BI192" s="16">
        <f>G192*H192</f>
        <v>0</v>
      </c>
      <c r="BJ192" s="16" t="s">
        <v>945</v>
      </c>
      <c r="BK192" s="26">
        <v>764</v>
      </c>
    </row>
    <row r="193" spans="1:14" s="58" customFormat="1" ht="12.75">
      <c r="A193" s="57"/>
      <c r="C193" s="59" t="s">
        <v>991</v>
      </c>
      <c r="D193" s="232" t="s">
        <v>1052</v>
      </c>
      <c r="E193" s="233"/>
      <c r="F193" s="233"/>
      <c r="G193" s="233"/>
      <c r="H193" s="233"/>
      <c r="I193" s="233"/>
      <c r="J193" s="233"/>
      <c r="K193" s="233"/>
      <c r="L193" s="233"/>
      <c r="M193" s="233"/>
      <c r="N193" s="57"/>
    </row>
    <row r="194" spans="1:63" ht="12.75">
      <c r="A194" s="4" t="s">
        <v>104</v>
      </c>
      <c r="B194" s="12" t="s">
        <v>273</v>
      </c>
      <c r="C194" s="53" t="s">
        <v>373</v>
      </c>
      <c r="D194" s="230" t="s">
        <v>656</v>
      </c>
      <c r="E194" s="231"/>
      <c r="F194" s="62" t="s">
        <v>846</v>
      </c>
      <c r="G194" s="104">
        <v>3.2</v>
      </c>
      <c r="H194" s="104"/>
      <c r="I194" s="16">
        <f>G194*AN194</f>
        <v>0</v>
      </c>
      <c r="J194" s="16">
        <f>G194*AO194</f>
        <v>0</v>
      </c>
      <c r="K194" s="126">
        <f>G194*H194</f>
        <v>0</v>
      </c>
      <c r="L194" s="16">
        <v>0.00053</v>
      </c>
      <c r="M194" s="16">
        <f>G194*L194</f>
        <v>0.001696</v>
      </c>
      <c r="N194" s="5"/>
      <c r="Y194" s="26">
        <f>IF(AP194="5",BI194,0)</f>
        <v>0</v>
      </c>
      <c r="AA194" s="26">
        <f>IF(AP194="1",BG194,0)</f>
        <v>0</v>
      </c>
      <c r="AB194" s="26">
        <f>IF(AP194="1",BH194,0)</f>
        <v>0</v>
      </c>
      <c r="AC194" s="26">
        <f>IF(AP194="7",BG194,0)</f>
        <v>0</v>
      </c>
      <c r="AD194" s="26">
        <f>IF(AP194="7",BH194,0)</f>
        <v>0</v>
      </c>
      <c r="AE194" s="26">
        <f>IF(AP194="2",BG194,0)</f>
        <v>0</v>
      </c>
      <c r="AF194" s="26">
        <f>IF(AP194="2",BH194,0)</f>
        <v>0</v>
      </c>
      <c r="AG194" s="26">
        <f>IF(AP194="0",BI194,0)</f>
        <v>0</v>
      </c>
      <c r="AH194" s="24" t="s">
        <v>273</v>
      </c>
      <c r="AI194" s="16">
        <f>IF(AM194=0,K194,0)</f>
        <v>0</v>
      </c>
      <c r="AJ194" s="16">
        <f>IF(AM194=15,K194,0)</f>
        <v>0</v>
      </c>
      <c r="AK194" s="16">
        <f>IF(AM194=21,K194,0)</f>
        <v>0</v>
      </c>
      <c r="AM194" s="26">
        <v>15</v>
      </c>
      <c r="AN194" s="26">
        <f>H194*0.143968574698676</f>
        <v>0</v>
      </c>
      <c r="AO194" s="26">
        <f>H194*(1-0.143968574698676)</f>
        <v>0</v>
      </c>
      <c r="AP194" s="27" t="s">
        <v>13</v>
      </c>
      <c r="AU194" s="26">
        <f>AV194+AW194</f>
        <v>0</v>
      </c>
      <c r="AV194" s="26">
        <f>G194*AN194</f>
        <v>0</v>
      </c>
      <c r="AW194" s="26">
        <f>G194*AO194</f>
        <v>0</v>
      </c>
      <c r="AX194" s="29" t="s">
        <v>896</v>
      </c>
      <c r="AY194" s="29" t="s">
        <v>927</v>
      </c>
      <c r="AZ194" s="24" t="s">
        <v>937</v>
      </c>
      <c r="BB194" s="26">
        <f>AV194+AW194</f>
        <v>0</v>
      </c>
      <c r="BC194" s="26">
        <f>H194/(100-BD194)*100</f>
        <v>0</v>
      </c>
      <c r="BD194" s="26">
        <v>0</v>
      </c>
      <c r="BE194" s="26">
        <f>M194</f>
        <v>0.001696</v>
      </c>
      <c r="BG194" s="16">
        <f>G194*AN194</f>
        <v>0</v>
      </c>
      <c r="BH194" s="16">
        <f>G194*AO194</f>
        <v>0</v>
      </c>
      <c r="BI194" s="16">
        <f>G194*H194</f>
        <v>0</v>
      </c>
      <c r="BJ194" s="16" t="s">
        <v>945</v>
      </c>
      <c r="BK194" s="26">
        <v>764</v>
      </c>
    </row>
    <row r="195" spans="1:14" s="58" customFormat="1" ht="12.75">
      <c r="A195" s="57"/>
      <c r="C195" s="59" t="s">
        <v>991</v>
      </c>
      <c r="D195" s="232" t="s">
        <v>1055</v>
      </c>
      <c r="E195" s="233"/>
      <c r="F195" s="233"/>
      <c r="G195" s="233"/>
      <c r="H195" s="233"/>
      <c r="I195" s="233"/>
      <c r="J195" s="233"/>
      <c r="K195" s="233"/>
      <c r="L195" s="233"/>
      <c r="M195" s="233"/>
      <c r="N195" s="57"/>
    </row>
    <row r="196" spans="1:63" ht="12.75">
      <c r="A196" s="4" t="s">
        <v>105</v>
      </c>
      <c r="B196" s="12" t="s">
        <v>273</v>
      </c>
      <c r="C196" s="53" t="s">
        <v>374</v>
      </c>
      <c r="D196" s="230" t="s">
        <v>657</v>
      </c>
      <c r="E196" s="231"/>
      <c r="F196" s="62" t="s">
        <v>846</v>
      </c>
      <c r="G196" s="104">
        <v>37.4</v>
      </c>
      <c r="H196" s="104"/>
      <c r="I196" s="16">
        <f>G196*AN196</f>
        <v>0</v>
      </c>
      <c r="J196" s="16">
        <f>G196*AO196</f>
        <v>0</v>
      </c>
      <c r="K196" s="126">
        <f>G196*H196</f>
        <v>0</v>
      </c>
      <c r="L196" s="16">
        <v>0.00056</v>
      </c>
      <c r="M196" s="16">
        <f>G196*L196</f>
        <v>0.020943999999999997</v>
      </c>
      <c r="N196" s="5"/>
      <c r="Y196" s="26">
        <f>IF(AP196="5",BI196,0)</f>
        <v>0</v>
      </c>
      <c r="AA196" s="26">
        <f>IF(AP196="1",BG196,0)</f>
        <v>0</v>
      </c>
      <c r="AB196" s="26">
        <f>IF(AP196="1",BH196,0)</f>
        <v>0</v>
      </c>
      <c r="AC196" s="26">
        <f>IF(AP196="7",BG196,0)</f>
        <v>0</v>
      </c>
      <c r="AD196" s="26">
        <f>IF(AP196="7",BH196,0)</f>
        <v>0</v>
      </c>
      <c r="AE196" s="26">
        <f>IF(AP196="2",BG196,0)</f>
        <v>0</v>
      </c>
      <c r="AF196" s="26">
        <f>IF(AP196="2",BH196,0)</f>
        <v>0</v>
      </c>
      <c r="AG196" s="26">
        <f>IF(AP196="0",BI196,0)</f>
        <v>0</v>
      </c>
      <c r="AH196" s="24" t="s">
        <v>273</v>
      </c>
      <c r="AI196" s="16">
        <f>IF(AM196=0,K196,0)</f>
        <v>0</v>
      </c>
      <c r="AJ196" s="16">
        <f>IF(AM196=15,K196,0)</f>
        <v>0</v>
      </c>
      <c r="AK196" s="16">
        <f>IF(AM196=21,K196,0)</f>
        <v>0</v>
      </c>
      <c r="AM196" s="26">
        <v>15</v>
      </c>
      <c r="AN196" s="26">
        <f>H196*0.153309986229166</f>
        <v>0</v>
      </c>
      <c r="AO196" s="26">
        <f>H196*(1-0.153309986229166)</f>
        <v>0</v>
      </c>
      <c r="AP196" s="27" t="s">
        <v>13</v>
      </c>
      <c r="AU196" s="26">
        <f>AV196+AW196</f>
        <v>0</v>
      </c>
      <c r="AV196" s="26">
        <f>G196*AN196</f>
        <v>0</v>
      </c>
      <c r="AW196" s="26">
        <f>G196*AO196</f>
        <v>0</v>
      </c>
      <c r="AX196" s="29" t="s">
        <v>896</v>
      </c>
      <c r="AY196" s="29" t="s">
        <v>927</v>
      </c>
      <c r="AZ196" s="24" t="s">
        <v>937</v>
      </c>
      <c r="BB196" s="26">
        <f>AV196+AW196</f>
        <v>0</v>
      </c>
      <c r="BC196" s="26">
        <f>H196/(100-BD196)*100</f>
        <v>0</v>
      </c>
      <c r="BD196" s="26">
        <v>0</v>
      </c>
      <c r="BE196" s="26">
        <f>M196</f>
        <v>0.020943999999999997</v>
      </c>
      <c r="BG196" s="16">
        <f>G196*AN196</f>
        <v>0</v>
      </c>
      <c r="BH196" s="16">
        <f>G196*AO196</f>
        <v>0</v>
      </c>
      <c r="BI196" s="16">
        <f>G196*H196</f>
        <v>0</v>
      </c>
      <c r="BJ196" s="16" t="s">
        <v>945</v>
      </c>
      <c r="BK196" s="26">
        <v>764</v>
      </c>
    </row>
    <row r="197" spans="1:14" s="58" customFormat="1" ht="12.75">
      <c r="A197" s="57"/>
      <c r="C197" s="59" t="s">
        <v>991</v>
      </c>
      <c r="D197" s="232" t="s">
        <v>1055</v>
      </c>
      <c r="E197" s="233"/>
      <c r="F197" s="233"/>
      <c r="G197" s="233"/>
      <c r="H197" s="233"/>
      <c r="I197" s="233"/>
      <c r="J197" s="233"/>
      <c r="K197" s="233"/>
      <c r="L197" s="233"/>
      <c r="M197" s="233"/>
      <c r="N197" s="57"/>
    </row>
    <row r="198" spans="1:63" ht="12.75">
      <c r="A198" s="4" t="s">
        <v>106</v>
      </c>
      <c r="B198" s="12" t="s">
        <v>273</v>
      </c>
      <c r="C198" s="53" t="s">
        <v>375</v>
      </c>
      <c r="D198" s="230" t="s">
        <v>658</v>
      </c>
      <c r="E198" s="231"/>
      <c r="F198" s="62" t="s">
        <v>846</v>
      </c>
      <c r="G198" s="104">
        <v>5.2</v>
      </c>
      <c r="H198" s="104"/>
      <c r="I198" s="16">
        <f>G198*AN198</f>
        <v>0</v>
      </c>
      <c r="J198" s="16">
        <f>G198*AO198</f>
        <v>0</v>
      </c>
      <c r="K198" s="126">
        <f>G198*H198</f>
        <v>0</v>
      </c>
      <c r="L198" s="16">
        <v>3E-05</v>
      </c>
      <c r="M198" s="16">
        <f>G198*L198</f>
        <v>0.000156</v>
      </c>
      <c r="N198" s="5"/>
      <c r="Y198" s="26">
        <f>IF(AP198="5",BI198,0)</f>
        <v>0</v>
      </c>
      <c r="AA198" s="26">
        <f>IF(AP198="1",BG198,0)</f>
        <v>0</v>
      </c>
      <c r="AB198" s="26">
        <f>IF(AP198="1",BH198,0)</f>
        <v>0</v>
      </c>
      <c r="AC198" s="26">
        <f>IF(AP198="7",BG198,0)</f>
        <v>0</v>
      </c>
      <c r="AD198" s="26">
        <f>IF(AP198="7",BH198,0)</f>
        <v>0</v>
      </c>
      <c r="AE198" s="26">
        <f>IF(AP198="2",BG198,0)</f>
        <v>0</v>
      </c>
      <c r="AF198" s="26">
        <f>IF(AP198="2",BH198,0)</f>
        <v>0</v>
      </c>
      <c r="AG198" s="26">
        <f>IF(AP198="0",BI198,0)</f>
        <v>0</v>
      </c>
      <c r="AH198" s="24" t="s">
        <v>273</v>
      </c>
      <c r="AI198" s="16">
        <f>IF(AM198=0,K198,0)</f>
        <v>0</v>
      </c>
      <c r="AJ198" s="16">
        <f>IF(AM198=15,K198,0)</f>
        <v>0</v>
      </c>
      <c r="AK198" s="16">
        <f>IF(AM198=21,K198,0)</f>
        <v>0</v>
      </c>
      <c r="AM198" s="26">
        <v>15</v>
      </c>
      <c r="AN198" s="26">
        <f>H198*0.762054003537933</f>
        <v>0</v>
      </c>
      <c r="AO198" s="26">
        <f>H198*(1-0.762054003537933)</f>
        <v>0</v>
      </c>
      <c r="AP198" s="27" t="s">
        <v>13</v>
      </c>
      <c r="AU198" s="26">
        <f>AV198+AW198</f>
        <v>0</v>
      </c>
      <c r="AV198" s="26">
        <f>G198*AN198</f>
        <v>0</v>
      </c>
      <c r="AW198" s="26">
        <f>G198*AO198</f>
        <v>0</v>
      </c>
      <c r="AX198" s="29" t="s">
        <v>896</v>
      </c>
      <c r="AY198" s="29" t="s">
        <v>927</v>
      </c>
      <c r="AZ198" s="24" t="s">
        <v>937</v>
      </c>
      <c r="BB198" s="26">
        <f>AV198+AW198</f>
        <v>0</v>
      </c>
      <c r="BC198" s="26">
        <f>H198/(100-BD198)*100</f>
        <v>0</v>
      </c>
      <c r="BD198" s="26">
        <v>0</v>
      </c>
      <c r="BE198" s="26">
        <f>M198</f>
        <v>0.000156</v>
      </c>
      <c r="BG198" s="16">
        <f>G198*AN198</f>
        <v>0</v>
      </c>
      <c r="BH198" s="16">
        <f>G198*AO198</f>
        <v>0</v>
      </c>
      <c r="BI198" s="16">
        <f>G198*H198</f>
        <v>0</v>
      </c>
      <c r="BJ198" s="16" t="s">
        <v>945</v>
      </c>
      <c r="BK198" s="26">
        <v>764</v>
      </c>
    </row>
    <row r="199" spans="1:63" ht="12.75">
      <c r="A199" s="4" t="s">
        <v>107</v>
      </c>
      <c r="B199" s="12" t="s">
        <v>273</v>
      </c>
      <c r="C199" s="53" t="s">
        <v>376</v>
      </c>
      <c r="D199" s="230" t="s">
        <v>1056</v>
      </c>
      <c r="E199" s="231"/>
      <c r="F199" s="62" t="s">
        <v>846</v>
      </c>
      <c r="G199" s="104">
        <v>5.2</v>
      </c>
      <c r="H199" s="104"/>
      <c r="I199" s="16">
        <f>G199*AN199</f>
        <v>0</v>
      </c>
      <c r="J199" s="16">
        <f>G199*AO199</f>
        <v>0</v>
      </c>
      <c r="K199" s="126">
        <f>G199*H199</f>
        <v>0</v>
      </c>
      <c r="L199" s="16">
        <v>0.001</v>
      </c>
      <c r="M199" s="16">
        <f>G199*L199</f>
        <v>0.005200000000000001</v>
      </c>
      <c r="N199" s="5"/>
      <c r="Y199" s="26">
        <f>IF(AP199="5",BI199,0)</f>
        <v>0</v>
      </c>
      <c r="AA199" s="26">
        <f>IF(AP199="1",BG199,0)</f>
        <v>0</v>
      </c>
      <c r="AB199" s="26">
        <f>IF(AP199="1",BH199,0)</f>
        <v>0</v>
      </c>
      <c r="AC199" s="26">
        <f>IF(AP199="7",BG199,0)</f>
        <v>0</v>
      </c>
      <c r="AD199" s="26">
        <f>IF(AP199="7",BH199,0)</f>
        <v>0</v>
      </c>
      <c r="AE199" s="26">
        <f>IF(AP199="2",BG199,0)</f>
        <v>0</v>
      </c>
      <c r="AF199" s="26">
        <f>IF(AP199="2",BH199,0)</f>
        <v>0</v>
      </c>
      <c r="AG199" s="26">
        <f>IF(AP199="0",BI199,0)</f>
        <v>0</v>
      </c>
      <c r="AH199" s="24" t="s">
        <v>273</v>
      </c>
      <c r="AI199" s="16">
        <f>IF(AM199=0,K199,0)</f>
        <v>0</v>
      </c>
      <c r="AJ199" s="16">
        <f>IF(AM199=15,K199,0)</f>
        <v>0</v>
      </c>
      <c r="AK199" s="16">
        <f>IF(AM199=21,K199,0)</f>
        <v>0</v>
      </c>
      <c r="AM199" s="26">
        <v>15</v>
      </c>
      <c r="AN199" s="26">
        <f>H199*0.192446319018405</f>
        <v>0</v>
      </c>
      <c r="AO199" s="26">
        <f>H199*(1-0.192446319018405)</f>
        <v>0</v>
      </c>
      <c r="AP199" s="27" t="s">
        <v>13</v>
      </c>
      <c r="AU199" s="26">
        <f>AV199+AW199</f>
        <v>0</v>
      </c>
      <c r="AV199" s="26">
        <f>G199*AN199</f>
        <v>0</v>
      </c>
      <c r="AW199" s="26">
        <f>G199*AO199</f>
        <v>0</v>
      </c>
      <c r="AX199" s="29" t="s">
        <v>896</v>
      </c>
      <c r="AY199" s="29" t="s">
        <v>927</v>
      </c>
      <c r="AZ199" s="24" t="s">
        <v>937</v>
      </c>
      <c r="BB199" s="26">
        <f>AV199+AW199</f>
        <v>0</v>
      </c>
      <c r="BC199" s="26">
        <f>H199/(100-BD199)*100</f>
        <v>0</v>
      </c>
      <c r="BD199" s="26">
        <v>0</v>
      </c>
      <c r="BE199" s="26">
        <f>M199</f>
        <v>0.005200000000000001</v>
      </c>
      <c r="BG199" s="16">
        <f>G199*AN199</f>
        <v>0</v>
      </c>
      <c r="BH199" s="16">
        <f>G199*AO199</f>
        <v>0</v>
      </c>
      <c r="BI199" s="16">
        <f>G199*H199</f>
        <v>0</v>
      </c>
      <c r="BJ199" s="16" t="s">
        <v>945</v>
      </c>
      <c r="BK199" s="26">
        <v>764</v>
      </c>
    </row>
    <row r="200" spans="1:14" s="58" customFormat="1" ht="12.75">
      <c r="A200" s="57"/>
      <c r="C200" s="59" t="s">
        <v>991</v>
      </c>
      <c r="D200" s="232" t="s">
        <v>1061</v>
      </c>
      <c r="E200" s="233"/>
      <c r="F200" s="233"/>
      <c r="G200" s="233"/>
      <c r="H200" s="233"/>
      <c r="I200" s="233"/>
      <c r="J200" s="233"/>
      <c r="K200" s="233"/>
      <c r="L200" s="233"/>
      <c r="M200" s="233"/>
      <c r="N200" s="57"/>
    </row>
    <row r="201" spans="1:63" ht="12.75">
      <c r="A201" s="4" t="s">
        <v>108</v>
      </c>
      <c r="B201" s="12" t="s">
        <v>273</v>
      </c>
      <c r="C201" s="53" t="s">
        <v>377</v>
      </c>
      <c r="D201" s="230" t="s">
        <v>1057</v>
      </c>
      <c r="E201" s="231"/>
      <c r="F201" s="62" t="s">
        <v>849</v>
      </c>
      <c r="G201" s="104">
        <v>34</v>
      </c>
      <c r="H201" s="104"/>
      <c r="I201" s="16">
        <f>G201*AN201</f>
        <v>0</v>
      </c>
      <c r="J201" s="16">
        <f>G201*AO201</f>
        <v>0</v>
      </c>
      <c r="K201" s="126">
        <f>G201*H201</f>
        <v>0</v>
      </c>
      <c r="L201" s="16">
        <v>0</v>
      </c>
      <c r="M201" s="16">
        <f>G201*L201</f>
        <v>0</v>
      </c>
      <c r="N201" s="5"/>
      <c r="Y201" s="26">
        <f>IF(AP201="5",BI201,0)</f>
        <v>0</v>
      </c>
      <c r="AA201" s="26">
        <f>IF(AP201="1",BG201,0)</f>
        <v>0</v>
      </c>
      <c r="AB201" s="26">
        <f>IF(AP201="1",BH201,0)</f>
        <v>0</v>
      </c>
      <c r="AC201" s="26">
        <f>IF(AP201="7",BG201,0)</f>
        <v>0</v>
      </c>
      <c r="AD201" s="26">
        <f>IF(AP201="7",BH201,0)</f>
        <v>0</v>
      </c>
      <c r="AE201" s="26">
        <f>IF(AP201="2",BG201,0)</f>
        <v>0</v>
      </c>
      <c r="AF201" s="26">
        <f>IF(AP201="2",BH201,0)</f>
        <v>0</v>
      </c>
      <c r="AG201" s="26">
        <f>IF(AP201="0",BI201,0)</f>
        <v>0</v>
      </c>
      <c r="AH201" s="24" t="s">
        <v>273</v>
      </c>
      <c r="AI201" s="16">
        <f>IF(AM201=0,K201,0)</f>
        <v>0</v>
      </c>
      <c r="AJ201" s="16">
        <f>IF(AM201=15,K201,0)</f>
        <v>0</v>
      </c>
      <c r="AK201" s="16">
        <f>IF(AM201=21,K201,0)</f>
        <v>0</v>
      </c>
      <c r="AM201" s="26">
        <v>15</v>
      </c>
      <c r="AN201" s="26">
        <f>H201*0.267880364109233</f>
        <v>0</v>
      </c>
      <c r="AO201" s="26">
        <f>H201*(1-0.267880364109233)</f>
        <v>0</v>
      </c>
      <c r="AP201" s="27" t="s">
        <v>13</v>
      </c>
      <c r="AU201" s="26">
        <f>AV201+AW201</f>
        <v>0</v>
      </c>
      <c r="AV201" s="26">
        <f>G201*AN201</f>
        <v>0</v>
      </c>
      <c r="AW201" s="26">
        <f>G201*AO201</f>
        <v>0</v>
      </c>
      <c r="AX201" s="29" t="s">
        <v>896</v>
      </c>
      <c r="AY201" s="29" t="s">
        <v>927</v>
      </c>
      <c r="AZ201" s="24" t="s">
        <v>937</v>
      </c>
      <c r="BB201" s="26">
        <f>AV201+AW201</f>
        <v>0</v>
      </c>
      <c r="BC201" s="26">
        <f>H201/(100-BD201)*100</f>
        <v>0</v>
      </c>
      <c r="BD201" s="26">
        <v>0</v>
      </c>
      <c r="BE201" s="26">
        <f>M201</f>
        <v>0</v>
      </c>
      <c r="BG201" s="16">
        <f>G201*AN201</f>
        <v>0</v>
      </c>
      <c r="BH201" s="16">
        <f>G201*AO201</f>
        <v>0</v>
      </c>
      <c r="BI201" s="16">
        <f>G201*H201</f>
        <v>0</v>
      </c>
      <c r="BJ201" s="16" t="s">
        <v>945</v>
      </c>
      <c r="BK201" s="26">
        <v>764</v>
      </c>
    </row>
    <row r="202" spans="1:63" ht="12.75">
      <c r="A202" s="4" t="s">
        <v>109</v>
      </c>
      <c r="B202" s="12" t="s">
        <v>273</v>
      </c>
      <c r="C202" s="53" t="s">
        <v>378</v>
      </c>
      <c r="D202" s="230" t="s">
        <v>1060</v>
      </c>
      <c r="E202" s="231"/>
      <c r="F202" s="62" t="s">
        <v>846</v>
      </c>
      <c r="G202" s="104">
        <v>33.7</v>
      </c>
      <c r="H202" s="104"/>
      <c r="I202" s="16">
        <f>G202*AN202</f>
        <v>0</v>
      </c>
      <c r="J202" s="16">
        <f>G202*AO202</f>
        <v>0</v>
      </c>
      <c r="K202" s="126">
        <f>G202*H202</f>
        <v>0</v>
      </c>
      <c r="L202" s="16">
        <v>4E-05</v>
      </c>
      <c r="M202" s="16">
        <f>G202*L202</f>
        <v>0.0013480000000000002</v>
      </c>
      <c r="N202" s="5"/>
      <c r="Y202" s="26">
        <f>IF(AP202="5",BI202,0)</f>
        <v>0</v>
      </c>
      <c r="AA202" s="26">
        <f>IF(AP202="1",BG202,0)</f>
        <v>0</v>
      </c>
      <c r="AB202" s="26">
        <f>IF(AP202="1",BH202,0)</f>
        <v>0</v>
      </c>
      <c r="AC202" s="26">
        <f>IF(AP202="7",BG202,0)</f>
        <v>0</v>
      </c>
      <c r="AD202" s="26">
        <f>IF(AP202="7",BH202,0)</f>
        <v>0</v>
      </c>
      <c r="AE202" s="26">
        <f>IF(AP202="2",BG202,0)</f>
        <v>0</v>
      </c>
      <c r="AF202" s="26">
        <f>IF(AP202="2",BH202,0)</f>
        <v>0</v>
      </c>
      <c r="AG202" s="26">
        <f>IF(AP202="0",BI202,0)</f>
        <v>0</v>
      </c>
      <c r="AH202" s="24" t="s">
        <v>273</v>
      </c>
      <c r="AI202" s="16">
        <f>IF(AM202=0,K202,0)</f>
        <v>0</v>
      </c>
      <c r="AJ202" s="16">
        <f>IF(AM202=15,K202,0)</f>
        <v>0</v>
      </c>
      <c r="AK202" s="16">
        <f>IF(AM202=21,K202,0)</f>
        <v>0</v>
      </c>
      <c r="AM202" s="26">
        <v>15</v>
      </c>
      <c r="AN202" s="26">
        <f>H202*0.757670830099677</f>
        <v>0</v>
      </c>
      <c r="AO202" s="26">
        <f>H202*(1-0.757670830099677)</f>
        <v>0</v>
      </c>
      <c r="AP202" s="27" t="s">
        <v>13</v>
      </c>
      <c r="AU202" s="26">
        <f>AV202+AW202</f>
        <v>0</v>
      </c>
      <c r="AV202" s="26">
        <f>G202*AN202</f>
        <v>0</v>
      </c>
      <c r="AW202" s="26">
        <f>G202*AO202</f>
        <v>0</v>
      </c>
      <c r="AX202" s="29" t="s">
        <v>896</v>
      </c>
      <c r="AY202" s="29" t="s">
        <v>927</v>
      </c>
      <c r="AZ202" s="24" t="s">
        <v>937</v>
      </c>
      <c r="BB202" s="26">
        <f>AV202+AW202</f>
        <v>0</v>
      </c>
      <c r="BC202" s="26">
        <f>H202/(100-BD202)*100</f>
        <v>0</v>
      </c>
      <c r="BD202" s="26">
        <v>0</v>
      </c>
      <c r="BE202" s="26">
        <f>M202</f>
        <v>0.0013480000000000002</v>
      </c>
      <c r="BG202" s="16">
        <f>G202*AN202</f>
        <v>0</v>
      </c>
      <c r="BH202" s="16">
        <f>G202*AO202</f>
        <v>0</v>
      </c>
      <c r="BI202" s="16">
        <f>G202*H202</f>
        <v>0</v>
      </c>
      <c r="BJ202" s="16" t="s">
        <v>945</v>
      </c>
      <c r="BK202" s="26">
        <v>764</v>
      </c>
    </row>
    <row r="203" spans="1:63" s="94" customFormat="1" ht="12.75">
      <c r="A203" s="4" t="s">
        <v>120</v>
      </c>
      <c r="B203" s="12" t="s">
        <v>273</v>
      </c>
      <c r="C203" s="53" t="s">
        <v>393</v>
      </c>
      <c r="D203" s="230" t="s">
        <v>673</v>
      </c>
      <c r="E203" s="231"/>
      <c r="F203" s="62" t="s">
        <v>846</v>
      </c>
      <c r="G203" s="104">
        <v>25.1</v>
      </c>
      <c r="H203" s="104"/>
      <c r="I203" s="16">
        <f>G203*AN203</f>
        <v>0</v>
      </c>
      <c r="J203" s="16">
        <f>G203*AO203</f>
        <v>0</v>
      </c>
      <c r="K203" s="126">
        <f>G203*H203</f>
        <v>0</v>
      </c>
      <c r="L203" s="16">
        <v>0.01864</v>
      </c>
      <c r="M203" s="16">
        <f>G203*L203</f>
        <v>0.46786400000000006</v>
      </c>
      <c r="N203" s="5"/>
      <c r="Y203" s="26">
        <f>IF(AP203="5",BI203,0)</f>
        <v>0</v>
      </c>
      <c r="AA203" s="26">
        <f>IF(AP203="1",BG203,0)</f>
        <v>0</v>
      </c>
      <c r="AB203" s="26">
        <f>IF(AP203="1",BH203,0)</f>
        <v>0</v>
      </c>
      <c r="AC203" s="26">
        <f>IF(AP203="7",BG203,0)</f>
        <v>0</v>
      </c>
      <c r="AD203" s="26">
        <f>IF(AP203="7",BH203,0)</f>
        <v>0</v>
      </c>
      <c r="AE203" s="26">
        <f>IF(AP203="2",BG203,0)</f>
        <v>0</v>
      </c>
      <c r="AF203" s="26">
        <f>IF(AP203="2",BH203,0)</f>
        <v>0</v>
      </c>
      <c r="AG203" s="26">
        <f>IF(AP203="0",BI203,0)</f>
        <v>0</v>
      </c>
      <c r="AH203" s="95" t="s">
        <v>273</v>
      </c>
      <c r="AI203" s="16">
        <f>IF(AM203=0,K203,0)</f>
        <v>0</v>
      </c>
      <c r="AJ203" s="16">
        <f>IF(AM203=15,K203,0)</f>
        <v>0</v>
      </c>
      <c r="AK203" s="16">
        <f>IF(AM203=21,K203,0)</f>
        <v>0</v>
      </c>
      <c r="AM203" s="26">
        <v>15</v>
      </c>
      <c r="AN203" s="26">
        <f>H203*0.400855908343731</f>
        <v>0</v>
      </c>
      <c r="AO203" s="26">
        <f>H203*(1-0.400855908343731)</f>
        <v>0</v>
      </c>
      <c r="AP203" s="27" t="s">
        <v>13</v>
      </c>
      <c r="AU203" s="26">
        <f>AV203+AW203</f>
        <v>0</v>
      </c>
      <c r="AV203" s="26">
        <f>G203*AN203</f>
        <v>0</v>
      </c>
      <c r="AW203" s="26">
        <f>G203*AO203</f>
        <v>0</v>
      </c>
      <c r="AX203" s="29" t="s">
        <v>900</v>
      </c>
      <c r="AY203" s="29" t="s">
        <v>928</v>
      </c>
      <c r="AZ203" s="95" t="s">
        <v>937</v>
      </c>
      <c r="BB203" s="26">
        <f>AV203+AW203</f>
        <v>0</v>
      </c>
      <c r="BC203" s="26">
        <f>H203/(100-BD203)*100</f>
        <v>0</v>
      </c>
      <c r="BD203" s="26">
        <v>0</v>
      </c>
      <c r="BE203" s="26">
        <f>M203</f>
        <v>0.46786400000000006</v>
      </c>
      <c r="BG203" s="16">
        <f>G203*AN203</f>
        <v>0</v>
      </c>
      <c r="BH203" s="16">
        <f>G203*AO203</f>
        <v>0</v>
      </c>
      <c r="BI203" s="16">
        <f>G203*H203</f>
        <v>0</v>
      </c>
      <c r="BJ203" s="16" t="s">
        <v>945</v>
      </c>
      <c r="BK203" s="26">
        <v>783</v>
      </c>
    </row>
    <row r="204" spans="1:14" s="96" customFormat="1" ht="12.75">
      <c r="A204" s="57"/>
      <c r="C204" s="59" t="s">
        <v>991</v>
      </c>
      <c r="D204" s="232" t="s">
        <v>1054</v>
      </c>
      <c r="E204" s="233"/>
      <c r="F204" s="233"/>
      <c r="G204" s="233"/>
      <c r="H204" s="233"/>
      <c r="I204" s="233"/>
      <c r="J204" s="233"/>
      <c r="K204" s="233"/>
      <c r="L204" s="233"/>
      <c r="M204" s="233"/>
      <c r="N204" s="57"/>
    </row>
    <row r="205" spans="1:63" s="94" customFormat="1" ht="12.75">
      <c r="A205" s="4" t="s">
        <v>123</v>
      </c>
      <c r="B205" s="12" t="s">
        <v>273</v>
      </c>
      <c r="C205" s="53" t="s">
        <v>396</v>
      </c>
      <c r="D205" s="230" t="s">
        <v>676</v>
      </c>
      <c r="E205" s="231"/>
      <c r="F205" s="62" t="s">
        <v>850</v>
      </c>
      <c r="G205" s="104">
        <v>4</v>
      </c>
      <c r="H205" s="104"/>
      <c r="I205" s="16">
        <f>G205*AN205</f>
        <v>0</v>
      </c>
      <c r="J205" s="16">
        <f>G205*AO205</f>
        <v>0</v>
      </c>
      <c r="K205" s="126">
        <f>G205*H205</f>
        <v>0</v>
      </c>
      <c r="L205" s="16">
        <v>2E-05</v>
      </c>
      <c r="M205" s="16">
        <f>G205*L205</f>
        <v>8E-05</v>
      </c>
      <c r="N205" s="5"/>
      <c r="Y205" s="26">
        <f>IF(AP205="5",BI205,0)</f>
        <v>0</v>
      </c>
      <c r="AA205" s="26">
        <f>IF(AP205="1",BG205,0)</f>
        <v>0</v>
      </c>
      <c r="AB205" s="26">
        <f>IF(AP205="1",BH205,0)</f>
        <v>0</v>
      </c>
      <c r="AC205" s="26">
        <f>IF(AP205="7",BG205,0)</f>
        <v>0</v>
      </c>
      <c r="AD205" s="26">
        <f>IF(AP205="7",BH205,0)</f>
        <v>0</v>
      </c>
      <c r="AE205" s="26">
        <f>IF(AP205="2",BG205,0)</f>
        <v>0</v>
      </c>
      <c r="AF205" s="26">
        <f>IF(AP205="2",BH205,0)</f>
        <v>0</v>
      </c>
      <c r="AG205" s="26">
        <f>IF(AP205="0",BI205,0)</f>
        <v>0</v>
      </c>
      <c r="AH205" s="95" t="s">
        <v>273</v>
      </c>
      <c r="AI205" s="16">
        <f>IF(AM205=0,K205,0)</f>
        <v>0</v>
      </c>
      <c r="AJ205" s="16">
        <f>IF(AM205=15,K205,0)</f>
        <v>0</v>
      </c>
      <c r="AK205" s="16">
        <f>IF(AM205=21,K205,0)</f>
        <v>0</v>
      </c>
      <c r="AM205" s="26">
        <v>15</v>
      </c>
      <c r="AN205" s="26">
        <f>H205*0.586860555699818</f>
        <v>0</v>
      </c>
      <c r="AO205" s="26">
        <f>H205*(1-0.586860555699818)</f>
        <v>0</v>
      </c>
      <c r="AP205" s="27" t="s">
        <v>13</v>
      </c>
      <c r="AU205" s="26">
        <f>AV205+AW205</f>
        <v>0</v>
      </c>
      <c r="AV205" s="26">
        <f>G205*AN205</f>
        <v>0</v>
      </c>
      <c r="AW205" s="26">
        <f>G205*AO205</f>
        <v>0</v>
      </c>
      <c r="AX205" s="29" t="s">
        <v>900</v>
      </c>
      <c r="AY205" s="29" t="s">
        <v>928</v>
      </c>
      <c r="AZ205" s="95" t="s">
        <v>937</v>
      </c>
      <c r="BB205" s="26">
        <f>AV205+AW205</f>
        <v>0</v>
      </c>
      <c r="BC205" s="26">
        <f>H205/(100-BD205)*100</f>
        <v>0</v>
      </c>
      <c r="BD205" s="26">
        <v>0</v>
      </c>
      <c r="BE205" s="26">
        <f>M205</f>
        <v>8E-05</v>
      </c>
      <c r="BG205" s="16">
        <f>G205*AN205</f>
        <v>0</v>
      </c>
      <c r="BH205" s="16">
        <f>G205*AO205</f>
        <v>0</v>
      </c>
      <c r="BI205" s="16">
        <f>G205*H205</f>
        <v>0</v>
      </c>
      <c r="BJ205" s="16" t="s">
        <v>945</v>
      </c>
      <c r="BK205" s="26">
        <v>783</v>
      </c>
    </row>
    <row r="206" spans="1:46" ht="12.75">
      <c r="A206" s="3"/>
      <c r="B206" s="11" t="s">
        <v>273</v>
      </c>
      <c r="C206" s="52" t="s">
        <v>379</v>
      </c>
      <c r="D206" s="228" t="s">
        <v>659</v>
      </c>
      <c r="E206" s="229"/>
      <c r="F206" s="61" t="s">
        <v>6</v>
      </c>
      <c r="G206" s="61" t="s">
        <v>6</v>
      </c>
      <c r="H206" s="61" t="s">
        <v>6</v>
      </c>
      <c r="I206" s="31">
        <f>SUM(I207:I217)</f>
        <v>0</v>
      </c>
      <c r="J206" s="31">
        <f>SUM(J207:J217)</f>
        <v>0</v>
      </c>
      <c r="K206" s="128">
        <f>SUM(K207:K217)</f>
        <v>0</v>
      </c>
      <c r="L206" s="24"/>
      <c r="M206" s="31">
        <f>SUM(M207:M217)</f>
        <v>0.1884</v>
      </c>
      <c r="N206" s="5"/>
      <c r="AH206" s="24" t="s">
        <v>273</v>
      </c>
      <c r="AR206" s="31">
        <f>SUM(AI207:AI217)</f>
        <v>0</v>
      </c>
      <c r="AS206" s="31">
        <f>SUM(AJ207:AJ217)</f>
        <v>0</v>
      </c>
      <c r="AT206" s="31">
        <f>SUM(AK207:AK217)</f>
        <v>0</v>
      </c>
    </row>
    <row r="207" spans="1:63" ht="12.75">
      <c r="A207" s="4" t="s">
        <v>110</v>
      </c>
      <c r="B207" s="12" t="s">
        <v>273</v>
      </c>
      <c r="C207" s="53" t="s">
        <v>380</v>
      </c>
      <c r="D207" s="230" t="s">
        <v>660</v>
      </c>
      <c r="E207" s="231"/>
      <c r="F207" s="62" t="s">
        <v>850</v>
      </c>
      <c r="G207" s="104">
        <v>7</v>
      </c>
      <c r="H207" s="104"/>
      <c r="I207" s="16">
        <f>G207*AN207</f>
        <v>0</v>
      </c>
      <c r="J207" s="16">
        <f>G207*AO207</f>
        <v>0</v>
      </c>
      <c r="K207" s="126">
        <f>G207*H207</f>
        <v>0</v>
      </c>
      <c r="L207" s="16">
        <v>0.016</v>
      </c>
      <c r="M207" s="16">
        <f>G207*L207</f>
        <v>0.112</v>
      </c>
      <c r="N207" s="5"/>
      <c r="Y207" s="26">
        <f>IF(AP207="5",BI207,0)</f>
        <v>0</v>
      </c>
      <c r="AA207" s="26">
        <f>IF(AP207="1",BG207,0)</f>
        <v>0</v>
      </c>
      <c r="AB207" s="26">
        <f>IF(AP207="1",BH207,0)</f>
        <v>0</v>
      </c>
      <c r="AC207" s="26">
        <f>IF(AP207="7",BG207,0)</f>
        <v>0</v>
      </c>
      <c r="AD207" s="26">
        <f>IF(AP207="7",BH207,0)</f>
        <v>0</v>
      </c>
      <c r="AE207" s="26">
        <f>IF(AP207="2",BG207,0)</f>
        <v>0</v>
      </c>
      <c r="AF207" s="26">
        <f>IF(AP207="2",BH207,0)</f>
        <v>0</v>
      </c>
      <c r="AG207" s="26">
        <f>IF(AP207="0",BI207,0)</f>
        <v>0</v>
      </c>
      <c r="AH207" s="24" t="s">
        <v>273</v>
      </c>
      <c r="AI207" s="16">
        <f>IF(AM207=0,K207,0)</f>
        <v>0</v>
      </c>
      <c r="AJ207" s="16">
        <f>IF(AM207=15,K207,0)</f>
        <v>0</v>
      </c>
      <c r="AK207" s="16">
        <f>IF(AM207=21,K207,0)</f>
        <v>0</v>
      </c>
      <c r="AM207" s="26">
        <v>15</v>
      </c>
      <c r="AN207" s="26">
        <f>H207*0</f>
        <v>0</v>
      </c>
      <c r="AO207" s="26">
        <f>H207*(1-0)</f>
        <v>0</v>
      </c>
      <c r="AP207" s="27" t="s">
        <v>8</v>
      </c>
      <c r="AU207" s="26">
        <f>AV207+AW207</f>
        <v>0</v>
      </c>
      <c r="AV207" s="26">
        <f>G207*AN207</f>
        <v>0</v>
      </c>
      <c r="AW207" s="26">
        <f>G207*AO207</f>
        <v>0</v>
      </c>
      <c r="AX207" s="29" t="s">
        <v>897</v>
      </c>
      <c r="AY207" s="29" t="s">
        <v>927</v>
      </c>
      <c r="AZ207" s="24" t="s">
        <v>937</v>
      </c>
      <c r="BB207" s="26">
        <f>AV207+AW207</f>
        <v>0</v>
      </c>
      <c r="BC207" s="26">
        <f>H207/(100-BD207)*100</f>
        <v>0</v>
      </c>
      <c r="BD207" s="26">
        <v>0</v>
      </c>
      <c r="BE207" s="26">
        <f>M207</f>
        <v>0.112</v>
      </c>
      <c r="BG207" s="16">
        <f>G207*AN207</f>
        <v>0</v>
      </c>
      <c r="BH207" s="16">
        <f>G207*AO207</f>
        <v>0</v>
      </c>
      <c r="BI207" s="16">
        <f>G207*H207</f>
        <v>0</v>
      </c>
      <c r="BJ207" s="16" t="s">
        <v>945</v>
      </c>
      <c r="BK207" s="26">
        <v>767</v>
      </c>
    </row>
    <row r="208" spans="1:14" s="58" customFormat="1" ht="12.75">
      <c r="A208" s="57"/>
      <c r="C208" s="59" t="s">
        <v>991</v>
      </c>
      <c r="D208" s="232" t="s">
        <v>1062</v>
      </c>
      <c r="E208" s="233"/>
      <c r="F208" s="233"/>
      <c r="G208" s="233"/>
      <c r="H208" s="233"/>
      <c r="I208" s="233"/>
      <c r="J208" s="233"/>
      <c r="K208" s="233"/>
      <c r="L208" s="233"/>
      <c r="M208" s="233"/>
      <c r="N208" s="57"/>
    </row>
    <row r="209" spans="1:63" ht="12.75">
      <c r="A209" s="6" t="s">
        <v>111</v>
      </c>
      <c r="B209" s="13" t="s">
        <v>273</v>
      </c>
      <c r="C209" s="54" t="s">
        <v>381</v>
      </c>
      <c r="D209" s="238" t="s">
        <v>661</v>
      </c>
      <c r="E209" s="239"/>
      <c r="F209" s="63" t="s">
        <v>849</v>
      </c>
      <c r="G209" s="105">
        <v>1</v>
      </c>
      <c r="H209" s="105"/>
      <c r="I209" s="17">
        <f>G209*AN209</f>
        <v>0</v>
      </c>
      <c r="J209" s="17">
        <f>G209*AO209</f>
        <v>0</v>
      </c>
      <c r="K209" s="126">
        <f>G209*H209</f>
        <v>0</v>
      </c>
      <c r="L209" s="17">
        <v>0.072</v>
      </c>
      <c r="M209" s="17">
        <f>G209*L209</f>
        <v>0.072</v>
      </c>
      <c r="N209" s="5"/>
      <c r="Y209" s="26">
        <f>IF(AP209="5",BI209,0)</f>
        <v>0</v>
      </c>
      <c r="AA209" s="26">
        <f>IF(AP209="1",BG209,0)</f>
        <v>0</v>
      </c>
      <c r="AB209" s="26">
        <f>IF(AP209="1",BH209,0)</f>
        <v>0</v>
      </c>
      <c r="AC209" s="26">
        <f>IF(AP209="7",BG209,0)</f>
        <v>0</v>
      </c>
      <c r="AD209" s="26">
        <f>IF(AP209="7",BH209,0)</f>
        <v>0</v>
      </c>
      <c r="AE209" s="26">
        <f>IF(AP209="2",BG209,0)</f>
        <v>0</v>
      </c>
      <c r="AF209" s="26">
        <f>IF(AP209="2",BH209,0)</f>
        <v>0</v>
      </c>
      <c r="AG209" s="26">
        <f>IF(AP209="0",BI209,0)</f>
        <v>0</v>
      </c>
      <c r="AH209" s="24" t="s">
        <v>273</v>
      </c>
      <c r="AI209" s="17">
        <f>IF(AM209=0,K209,0)</f>
        <v>0</v>
      </c>
      <c r="AJ209" s="17">
        <f>IF(AM209=15,K209,0)</f>
        <v>0</v>
      </c>
      <c r="AK209" s="17">
        <f>IF(AM209=21,K209,0)</f>
        <v>0</v>
      </c>
      <c r="AM209" s="26">
        <v>15</v>
      </c>
      <c r="AN209" s="26">
        <f>H209*1</f>
        <v>0</v>
      </c>
      <c r="AO209" s="26">
        <f>H209*(1-1)</f>
        <v>0</v>
      </c>
      <c r="AP209" s="28" t="s">
        <v>13</v>
      </c>
      <c r="AU209" s="26">
        <f>AV209+AW209</f>
        <v>0</v>
      </c>
      <c r="AV209" s="26">
        <f>G209*AN209</f>
        <v>0</v>
      </c>
      <c r="AW209" s="26">
        <f>G209*AO209</f>
        <v>0</v>
      </c>
      <c r="AX209" s="29" t="s">
        <v>897</v>
      </c>
      <c r="AY209" s="29" t="s">
        <v>927</v>
      </c>
      <c r="AZ209" s="24" t="s">
        <v>937</v>
      </c>
      <c r="BB209" s="26">
        <f>AV209+AW209</f>
        <v>0</v>
      </c>
      <c r="BC209" s="26">
        <f>H209/(100-BD209)*100</f>
        <v>0</v>
      </c>
      <c r="BD209" s="26">
        <v>0</v>
      </c>
      <c r="BE209" s="26">
        <f>M209</f>
        <v>0.072</v>
      </c>
      <c r="BG209" s="17">
        <f>G209*AN209</f>
        <v>0</v>
      </c>
      <c r="BH209" s="17">
        <f>G209*AO209</f>
        <v>0</v>
      </c>
      <c r="BI209" s="17">
        <f>G209*H209</f>
        <v>0</v>
      </c>
      <c r="BJ209" s="17" t="s">
        <v>946</v>
      </c>
      <c r="BK209" s="26">
        <v>767</v>
      </c>
    </row>
    <row r="210" spans="1:14" s="58" customFormat="1" ht="12.75">
      <c r="A210" s="57"/>
      <c r="C210" s="59" t="s">
        <v>991</v>
      </c>
      <c r="D210" s="232" t="s">
        <v>1063</v>
      </c>
      <c r="E210" s="233"/>
      <c r="F210" s="233"/>
      <c r="G210" s="233"/>
      <c r="H210" s="233"/>
      <c r="I210" s="233"/>
      <c r="J210" s="233"/>
      <c r="K210" s="233"/>
      <c r="L210" s="233"/>
      <c r="M210" s="233"/>
      <c r="N210" s="57"/>
    </row>
    <row r="211" spans="1:63" ht="12.75">
      <c r="A211" s="6" t="s">
        <v>112</v>
      </c>
      <c r="B211" s="13" t="s">
        <v>273</v>
      </c>
      <c r="C211" s="54" t="s">
        <v>382</v>
      </c>
      <c r="D211" s="238" t="s">
        <v>662</v>
      </c>
      <c r="E211" s="239"/>
      <c r="F211" s="63" t="s">
        <v>849</v>
      </c>
      <c r="G211" s="105">
        <v>1</v>
      </c>
      <c r="H211" s="105"/>
      <c r="I211" s="17">
        <f>G211*AN211</f>
        <v>0</v>
      </c>
      <c r="J211" s="17">
        <f>G211*AO211</f>
        <v>0</v>
      </c>
      <c r="K211" s="126">
        <f>G211*H211</f>
        <v>0</v>
      </c>
      <c r="L211" s="17">
        <v>0.002</v>
      </c>
      <c r="M211" s="17">
        <f>G211*L211</f>
        <v>0.002</v>
      </c>
      <c r="N211" s="5"/>
      <c r="Y211" s="26">
        <f>IF(AP211="5",BI211,0)</f>
        <v>0</v>
      </c>
      <c r="AA211" s="26">
        <f>IF(AP211="1",BG211,0)</f>
        <v>0</v>
      </c>
      <c r="AB211" s="26">
        <f>IF(AP211="1",BH211,0)</f>
        <v>0</v>
      </c>
      <c r="AC211" s="26">
        <f>IF(AP211="7",BG211,0)</f>
        <v>0</v>
      </c>
      <c r="AD211" s="26">
        <f>IF(AP211="7",BH211,0)</f>
        <v>0</v>
      </c>
      <c r="AE211" s="26">
        <f>IF(AP211="2",BG211,0)</f>
        <v>0</v>
      </c>
      <c r="AF211" s="26">
        <f>IF(AP211="2",BH211,0)</f>
        <v>0</v>
      </c>
      <c r="AG211" s="26">
        <f>IF(AP211="0",BI211,0)</f>
        <v>0</v>
      </c>
      <c r="AH211" s="24" t="s">
        <v>273</v>
      </c>
      <c r="AI211" s="17">
        <f>IF(AM211=0,K211,0)</f>
        <v>0</v>
      </c>
      <c r="AJ211" s="17">
        <f>IF(AM211=15,K211,0)</f>
        <v>0</v>
      </c>
      <c r="AK211" s="17">
        <f>IF(AM211=21,K211,0)</f>
        <v>0</v>
      </c>
      <c r="AM211" s="26">
        <v>15</v>
      </c>
      <c r="AN211" s="26">
        <f>H211*1</f>
        <v>0</v>
      </c>
      <c r="AO211" s="26">
        <f>H211*(1-1)</f>
        <v>0</v>
      </c>
      <c r="AP211" s="28" t="s">
        <v>13</v>
      </c>
      <c r="AU211" s="26">
        <f>AV211+AW211</f>
        <v>0</v>
      </c>
      <c r="AV211" s="26">
        <f>G211*AN211</f>
        <v>0</v>
      </c>
      <c r="AW211" s="26">
        <f>G211*AO211</f>
        <v>0</v>
      </c>
      <c r="AX211" s="29" t="s">
        <v>897</v>
      </c>
      <c r="AY211" s="29" t="s">
        <v>927</v>
      </c>
      <c r="AZ211" s="24" t="s">
        <v>937</v>
      </c>
      <c r="BB211" s="26">
        <f>AV211+AW211</f>
        <v>0</v>
      </c>
      <c r="BC211" s="26">
        <f>H211/(100-BD211)*100</f>
        <v>0</v>
      </c>
      <c r="BD211" s="26">
        <v>0</v>
      </c>
      <c r="BE211" s="26">
        <f>M211</f>
        <v>0.002</v>
      </c>
      <c r="BG211" s="17">
        <f>G211*AN211</f>
        <v>0</v>
      </c>
      <c r="BH211" s="17">
        <f>G211*AO211</f>
        <v>0</v>
      </c>
      <c r="BI211" s="17">
        <f>G211*H211</f>
        <v>0</v>
      </c>
      <c r="BJ211" s="17" t="s">
        <v>946</v>
      </c>
      <c r="BK211" s="26">
        <v>767</v>
      </c>
    </row>
    <row r="212" spans="1:14" s="58" customFormat="1" ht="12.75">
      <c r="A212" s="57"/>
      <c r="C212" s="59" t="s">
        <v>991</v>
      </c>
      <c r="D212" s="232" t="s">
        <v>1064</v>
      </c>
      <c r="E212" s="233"/>
      <c r="F212" s="233"/>
      <c r="G212" s="233"/>
      <c r="H212" s="233"/>
      <c r="I212" s="233"/>
      <c r="J212" s="233"/>
      <c r="K212" s="233"/>
      <c r="L212" s="233"/>
      <c r="M212" s="233"/>
      <c r="N212" s="57"/>
    </row>
    <row r="213" spans="1:63" ht="12.75">
      <c r="A213" s="4" t="s">
        <v>113</v>
      </c>
      <c r="B213" s="12" t="s">
        <v>273</v>
      </c>
      <c r="C213" s="53" t="s">
        <v>383</v>
      </c>
      <c r="D213" s="230" t="s">
        <v>663</v>
      </c>
      <c r="E213" s="231"/>
      <c r="F213" s="62" t="s">
        <v>850</v>
      </c>
      <c r="G213" s="104">
        <v>1</v>
      </c>
      <c r="H213" s="104"/>
      <c r="I213" s="16">
        <f>G213*AN213</f>
        <v>0</v>
      </c>
      <c r="J213" s="16">
        <f>G213*AO213</f>
        <v>0</v>
      </c>
      <c r="K213" s="126">
        <f>G213*H213</f>
        <v>0</v>
      </c>
      <c r="L213" s="16">
        <v>0</v>
      </c>
      <c r="M213" s="16">
        <f>G213*L213</f>
        <v>0</v>
      </c>
      <c r="N213" s="5"/>
      <c r="Y213" s="26">
        <f>IF(AP213="5",BI213,0)</f>
        <v>0</v>
      </c>
      <c r="AA213" s="26">
        <f>IF(AP213="1",BG213,0)</f>
        <v>0</v>
      </c>
      <c r="AB213" s="26">
        <f>IF(AP213="1",BH213,0)</f>
        <v>0</v>
      </c>
      <c r="AC213" s="26">
        <f>IF(AP213="7",BG213,0)</f>
        <v>0</v>
      </c>
      <c r="AD213" s="26">
        <f>IF(AP213="7",BH213,0)</f>
        <v>0</v>
      </c>
      <c r="AE213" s="26">
        <f>IF(AP213="2",BG213,0)</f>
        <v>0</v>
      </c>
      <c r="AF213" s="26">
        <f>IF(AP213="2",BH213,0)</f>
        <v>0</v>
      </c>
      <c r="AG213" s="26">
        <f>IF(AP213="0",BI213,0)</f>
        <v>0</v>
      </c>
      <c r="AH213" s="24" t="s">
        <v>273</v>
      </c>
      <c r="AI213" s="16">
        <f>IF(AM213=0,K213,0)</f>
        <v>0</v>
      </c>
      <c r="AJ213" s="16">
        <f>IF(AM213=15,K213,0)</f>
        <v>0</v>
      </c>
      <c r="AK213" s="16">
        <f>IF(AM213=21,K213,0)</f>
        <v>0</v>
      </c>
      <c r="AM213" s="26">
        <v>15</v>
      </c>
      <c r="AN213" s="26">
        <f>H213*0</f>
        <v>0</v>
      </c>
      <c r="AO213" s="26">
        <f>H213*(1-0)</f>
        <v>0</v>
      </c>
      <c r="AP213" s="27" t="s">
        <v>13</v>
      </c>
      <c r="AU213" s="26">
        <f>AV213+AW213</f>
        <v>0</v>
      </c>
      <c r="AV213" s="26">
        <f>G213*AN213</f>
        <v>0</v>
      </c>
      <c r="AW213" s="26">
        <f>G213*AO213</f>
        <v>0</v>
      </c>
      <c r="AX213" s="29" t="s">
        <v>897</v>
      </c>
      <c r="AY213" s="29" t="s">
        <v>927</v>
      </c>
      <c r="AZ213" s="24" t="s">
        <v>937</v>
      </c>
      <c r="BB213" s="26">
        <f>AV213+AW213</f>
        <v>0</v>
      </c>
      <c r="BC213" s="26">
        <f>H213/(100-BD213)*100</f>
        <v>0</v>
      </c>
      <c r="BD213" s="26">
        <v>0</v>
      </c>
      <c r="BE213" s="26">
        <f>M213</f>
        <v>0</v>
      </c>
      <c r="BG213" s="16">
        <f>G213*AN213</f>
        <v>0</v>
      </c>
      <c r="BH213" s="16">
        <f>G213*AO213</f>
        <v>0</v>
      </c>
      <c r="BI213" s="16">
        <f>G213*H213</f>
        <v>0</v>
      </c>
      <c r="BJ213" s="16" t="s">
        <v>945</v>
      </c>
      <c r="BK213" s="26">
        <v>767</v>
      </c>
    </row>
    <row r="214" spans="1:63" ht="12.75">
      <c r="A214" s="4" t="s">
        <v>114</v>
      </c>
      <c r="B214" s="12" t="s">
        <v>273</v>
      </c>
      <c r="C214" s="53" t="s">
        <v>384</v>
      </c>
      <c r="D214" s="230" t="s">
        <v>664</v>
      </c>
      <c r="E214" s="231"/>
      <c r="F214" s="62" t="s">
        <v>850</v>
      </c>
      <c r="G214" s="104">
        <v>3</v>
      </c>
      <c r="H214" s="104"/>
      <c r="I214" s="16">
        <f>G214*AN214</f>
        <v>0</v>
      </c>
      <c r="J214" s="16">
        <f>G214*AO214</f>
        <v>0</v>
      </c>
      <c r="K214" s="126">
        <f>G214*H214</f>
        <v>0</v>
      </c>
      <c r="L214" s="16">
        <v>0</v>
      </c>
      <c r="M214" s="16">
        <f>G214*L214</f>
        <v>0</v>
      </c>
      <c r="N214" s="5"/>
      <c r="Y214" s="26">
        <f>IF(AP214="5",BI214,0)</f>
        <v>0</v>
      </c>
      <c r="AA214" s="26">
        <f>IF(AP214="1",BG214,0)</f>
        <v>0</v>
      </c>
      <c r="AB214" s="26">
        <f>IF(AP214="1",BH214,0)</f>
        <v>0</v>
      </c>
      <c r="AC214" s="26">
        <f>IF(AP214="7",BG214,0)</f>
        <v>0</v>
      </c>
      <c r="AD214" s="26">
        <f>IF(AP214="7",BH214,0)</f>
        <v>0</v>
      </c>
      <c r="AE214" s="26">
        <f>IF(AP214="2",BG214,0)</f>
        <v>0</v>
      </c>
      <c r="AF214" s="26">
        <f>IF(AP214="2",BH214,0)</f>
        <v>0</v>
      </c>
      <c r="AG214" s="26">
        <f>IF(AP214="0",BI214,0)</f>
        <v>0</v>
      </c>
      <c r="AH214" s="24" t="s">
        <v>273</v>
      </c>
      <c r="AI214" s="16">
        <f>IF(AM214=0,K214,0)</f>
        <v>0</v>
      </c>
      <c r="AJ214" s="16">
        <f>IF(AM214=15,K214,0)</f>
        <v>0</v>
      </c>
      <c r="AK214" s="16">
        <f>IF(AM214=21,K214,0)</f>
        <v>0</v>
      </c>
      <c r="AM214" s="26">
        <v>15</v>
      </c>
      <c r="AN214" s="26">
        <f>H214*0</f>
        <v>0</v>
      </c>
      <c r="AO214" s="26">
        <f>H214*(1-0)</f>
        <v>0</v>
      </c>
      <c r="AP214" s="27" t="s">
        <v>13</v>
      </c>
      <c r="AU214" s="26">
        <f>AV214+AW214</f>
        <v>0</v>
      </c>
      <c r="AV214" s="26">
        <f>G214*AN214</f>
        <v>0</v>
      </c>
      <c r="AW214" s="26">
        <f>G214*AO214</f>
        <v>0</v>
      </c>
      <c r="AX214" s="29" t="s">
        <v>897</v>
      </c>
      <c r="AY214" s="29" t="s">
        <v>927</v>
      </c>
      <c r="AZ214" s="24" t="s">
        <v>937</v>
      </c>
      <c r="BB214" s="26">
        <f>AV214+AW214</f>
        <v>0</v>
      </c>
      <c r="BC214" s="26">
        <f>H214/(100-BD214)*100</f>
        <v>0</v>
      </c>
      <c r="BD214" s="26">
        <v>0</v>
      </c>
      <c r="BE214" s="26">
        <f>M214</f>
        <v>0</v>
      </c>
      <c r="BG214" s="16">
        <f>G214*AN214</f>
        <v>0</v>
      </c>
      <c r="BH214" s="16">
        <f>G214*AO214</f>
        <v>0</v>
      </c>
      <c r="BI214" s="16">
        <f>G214*H214</f>
        <v>0</v>
      </c>
      <c r="BJ214" s="16" t="s">
        <v>945</v>
      </c>
      <c r="BK214" s="26">
        <v>767</v>
      </c>
    </row>
    <row r="215" spans="1:14" s="58" customFormat="1" ht="12.75">
      <c r="A215" s="57"/>
      <c r="C215" s="59" t="s">
        <v>991</v>
      </c>
      <c r="D215" s="232" t="s">
        <v>1065</v>
      </c>
      <c r="E215" s="233"/>
      <c r="F215" s="233"/>
      <c r="G215" s="233"/>
      <c r="H215" s="233"/>
      <c r="I215" s="233"/>
      <c r="J215" s="233"/>
      <c r="K215" s="233"/>
      <c r="L215" s="233"/>
      <c r="M215" s="233"/>
      <c r="N215" s="57"/>
    </row>
    <row r="216" spans="1:63" ht="12.75">
      <c r="A216" s="6" t="s">
        <v>115</v>
      </c>
      <c r="B216" s="13" t="s">
        <v>273</v>
      </c>
      <c r="C216" s="54" t="s">
        <v>385</v>
      </c>
      <c r="D216" s="238" t="s">
        <v>665</v>
      </c>
      <c r="E216" s="239"/>
      <c r="F216" s="63" t="s">
        <v>849</v>
      </c>
      <c r="G216" s="105">
        <v>1</v>
      </c>
      <c r="H216" s="105"/>
      <c r="I216" s="17">
        <f>G216*AN216</f>
        <v>0</v>
      </c>
      <c r="J216" s="17">
        <f>G216*AO216</f>
        <v>0</v>
      </c>
      <c r="K216" s="126">
        <f>G216*H216</f>
        <v>0</v>
      </c>
      <c r="L216" s="17">
        <v>0</v>
      </c>
      <c r="M216" s="17">
        <f>G216*L216</f>
        <v>0</v>
      </c>
      <c r="N216" s="5"/>
      <c r="Y216" s="26">
        <f>IF(AP216="5",BI216,0)</f>
        <v>0</v>
      </c>
      <c r="AA216" s="26">
        <f>IF(AP216="1",BG216,0)</f>
        <v>0</v>
      </c>
      <c r="AB216" s="26">
        <f>IF(AP216="1",BH216,0)</f>
        <v>0</v>
      </c>
      <c r="AC216" s="26">
        <f>IF(AP216="7",BG216,0)</f>
        <v>0</v>
      </c>
      <c r="AD216" s="26">
        <f>IF(AP216="7",BH216,0)</f>
        <v>0</v>
      </c>
      <c r="AE216" s="26">
        <f>IF(AP216="2",BG216,0)</f>
        <v>0</v>
      </c>
      <c r="AF216" s="26">
        <f>IF(AP216="2",BH216,0)</f>
        <v>0</v>
      </c>
      <c r="AG216" s="26">
        <f>IF(AP216="0",BI216,0)</f>
        <v>0</v>
      </c>
      <c r="AH216" s="24" t="s">
        <v>273</v>
      </c>
      <c r="AI216" s="17">
        <f>IF(AM216=0,K216,0)</f>
        <v>0</v>
      </c>
      <c r="AJ216" s="17">
        <f>IF(AM216=15,K216,0)</f>
        <v>0</v>
      </c>
      <c r="AK216" s="17">
        <f>IF(AM216=21,K216,0)</f>
        <v>0</v>
      </c>
      <c r="AM216" s="26">
        <v>15</v>
      </c>
      <c r="AN216" s="26">
        <f>H216*1</f>
        <v>0</v>
      </c>
      <c r="AO216" s="26">
        <f>H216*(1-1)</f>
        <v>0</v>
      </c>
      <c r="AP216" s="28" t="s">
        <v>13</v>
      </c>
      <c r="AU216" s="26">
        <f>AV216+AW216</f>
        <v>0</v>
      </c>
      <c r="AV216" s="26">
        <f>G216*AN216</f>
        <v>0</v>
      </c>
      <c r="AW216" s="26">
        <f>G216*AO216</f>
        <v>0</v>
      </c>
      <c r="AX216" s="29" t="s">
        <v>897</v>
      </c>
      <c r="AY216" s="29" t="s">
        <v>927</v>
      </c>
      <c r="AZ216" s="24" t="s">
        <v>937</v>
      </c>
      <c r="BB216" s="26">
        <f>AV216+AW216</f>
        <v>0</v>
      </c>
      <c r="BC216" s="26">
        <f>H216/(100-BD216)*100</f>
        <v>0</v>
      </c>
      <c r="BD216" s="26">
        <v>0</v>
      </c>
      <c r="BE216" s="26">
        <f>M216</f>
        <v>0</v>
      </c>
      <c r="BG216" s="17">
        <f>G216*AN216</f>
        <v>0</v>
      </c>
      <c r="BH216" s="17">
        <f>G216*AO216</f>
        <v>0</v>
      </c>
      <c r="BI216" s="17">
        <f>G216*H216</f>
        <v>0</v>
      </c>
      <c r="BJ216" s="17" t="s">
        <v>946</v>
      </c>
      <c r="BK216" s="26">
        <v>767</v>
      </c>
    </row>
    <row r="217" spans="1:63" ht="12.75">
      <c r="A217" s="6" t="s">
        <v>116</v>
      </c>
      <c r="B217" s="13" t="s">
        <v>273</v>
      </c>
      <c r="C217" s="54" t="s">
        <v>386</v>
      </c>
      <c r="D217" s="238" t="s">
        <v>666</v>
      </c>
      <c r="E217" s="239"/>
      <c r="F217" s="63" t="s">
        <v>849</v>
      </c>
      <c r="G217" s="105">
        <v>2</v>
      </c>
      <c r="H217" s="105"/>
      <c r="I217" s="17">
        <f>G217*AN217</f>
        <v>0</v>
      </c>
      <c r="J217" s="17">
        <f>G217*AO217</f>
        <v>0</v>
      </c>
      <c r="K217" s="126">
        <f>G217*H217</f>
        <v>0</v>
      </c>
      <c r="L217" s="17">
        <v>0.0012</v>
      </c>
      <c r="M217" s="17">
        <f>G217*L217</f>
        <v>0.0024</v>
      </c>
      <c r="N217" s="5"/>
      <c r="Y217" s="26">
        <f>IF(AP217="5",BI217,0)</f>
        <v>0</v>
      </c>
      <c r="AA217" s="26">
        <f>IF(AP217="1",BG217,0)</f>
        <v>0</v>
      </c>
      <c r="AB217" s="26">
        <f>IF(AP217="1",BH217,0)</f>
        <v>0</v>
      </c>
      <c r="AC217" s="26">
        <f>IF(AP217="7",BG217,0)</f>
        <v>0</v>
      </c>
      <c r="AD217" s="26">
        <f>IF(AP217="7",BH217,0)</f>
        <v>0</v>
      </c>
      <c r="AE217" s="26">
        <f>IF(AP217="2",BG217,0)</f>
        <v>0</v>
      </c>
      <c r="AF217" s="26">
        <f>IF(AP217="2",BH217,0)</f>
        <v>0</v>
      </c>
      <c r="AG217" s="26">
        <f>IF(AP217="0",BI217,0)</f>
        <v>0</v>
      </c>
      <c r="AH217" s="24" t="s">
        <v>273</v>
      </c>
      <c r="AI217" s="17">
        <f>IF(AM217=0,K217,0)</f>
        <v>0</v>
      </c>
      <c r="AJ217" s="17">
        <f>IF(AM217=15,K217,0)</f>
        <v>0</v>
      </c>
      <c r="AK217" s="17">
        <f>IF(AM217=21,K217,0)</f>
        <v>0</v>
      </c>
      <c r="AM217" s="26">
        <v>15</v>
      </c>
      <c r="AN217" s="26">
        <f>H217*1</f>
        <v>0</v>
      </c>
      <c r="AO217" s="26">
        <f>H217*(1-1)</f>
        <v>0</v>
      </c>
      <c r="AP217" s="28" t="s">
        <v>13</v>
      </c>
      <c r="AU217" s="26">
        <f>AV217+AW217</f>
        <v>0</v>
      </c>
      <c r="AV217" s="26">
        <f>G217*AN217</f>
        <v>0</v>
      </c>
      <c r="AW217" s="26">
        <f>G217*AO217</f>
        <v>0</v>
      </c>
      <c r="AX217" s="29" t="s">
        <v>897</v>
      </c>
      <c r="AY217" s="29" t="s">
        <v>927</v>
      </c>
      <c r="AZ217" s="24" t="s">
        <v>937</v>
      </c>
      <c r="BB217" s="26">
        <f>AV217+AW217</f>
        <v>0</v>
      </c>
      <c r="BC217" s="26">
        <f>H217/(100-BD217)*100</f>
        <v>0</v>
      </c>
      <c r="BD217" s="26">
        <v>0</v>
      </c>
      <c r="BE217" s="26">
        <f>M217</f>
        <v>0.0024</v>
      </c>
      <c r="BG217" s="17">
        <f>G217*AN217</f>
        <v>0</v>
      </c>
      <c r="BH217" s="17">
        <f>G217*AO217</f>
        <v>0</v>
      </c>
      <c r="BI217" s="17">
        <f>G217*H217</f>
        <v>0</v>
      </c>
      <c r="BJ217" s="17" t="s">
        <v>946</v>
      </c>
      <c r="BK217" s="26">
        <v>767</v>
      </c>
    </row>
    <row r="218" spans="1:14" s="58" customFormat="1" ht="12.75">
      <c r="A218" s="57"/>
      <c r="C218" s="59" t="s">
        <v>991</v>
      </c>
      <c r="D218" s="232" t="s">
        <v>1066</v>
      </c>
      <c r="E218" s="233"/>
      <c r="F218" s="233"/>
      <c r="G218" s="233"/>
      <c r="H218" s="233"/>
      <c r="I218" s="233"/>
      <c r="J218" s="233"/>
      <c r="K218" s="233"/>
      <c r="L218" s="233"/>
      <c r="M218" s="233"/>
      <c r="N218" s="57"/>
    </row>
    <row r="219" spans="1:46" ht="12.75">
      <c r="A219" s="3"/>
      <c r="B219" s="11" t="s">
        <v>273</v>
      </c>
      <c r="C219" s="52" t="s">
        <v>387</v>
      </c>
      <c r="D219" s="228" t="s">
        <v>667</v>
      </c>
      <c r="E219" s="229"/>
      <c r="F219" s="61" t="s">
        <v>6</v>
      </c>
      <c r="G219" s="61" t="s">
        <v>6</v>
      </c>
      <c r="H219" s="61" t="s">
        <v>6</v>
      </c>
      <c r="I219" s="31">
        <f>SUM(I220:I220)</f>
        <v>0</v>
      </c>
      <c r="J219" s="31">
        <f>SUM(J220:J220)</f>
        <v>0</v>
      </c>
      <c r="K219" s="128">
        <f>SUM(K220:K220)</f>
        <v>0</v>
      </c>
      <c r="L219" s="24"/>
      <c r="M219" s="31">
        <f>SUM(M220:M220)</f>
        <v>0</v>
      </c>
      <c r="N219" s="5"/>
      <c r="AH219" s="24" t="s">
        <v>273</v>
      </c>
      <c r="AR219" s="31">
        <f>SUM(AI220:AI220)</f>
        <v>0</v>
      </c>
      <c r="AS219" s="31">
        <f>SUM(AJ220:AJ220)</f>
        <v>0</v>
      </c>
      <c r="AT219" s="31">
        <f>SUM(AK220:AK220)</f>
        <v>0</v>
      </c>
    </row>
    <row r="220" spans="1:63" ht="12.75">
      <c r="A220" s="4" t="s">
        <v>117</v>
      </c>
      <c r="B220" s="12" t="s">
        <v>273</v>
      </c>
      <c r="C220" s="53" t="s">
        <v>388</v>
      </c>
      <c r="D220" s="230" t="s">
        <v>668</v>
      </c>
      <c r="E220" s="231"/>
      <c r="F220" s="62" t="s">
        <v>850</v>
      </c>
      <c r="G220" s="104">
        <v>4</v>
      </c>
      <c r="H220" s="104"/>
      <c r="I220" s="16">
        <f>G220*AN220</f>
        <v>0</v>
      </c>
      <c r="J220" s="16">
        <f>G220*AO220</f>
        <v>0</v>
      </c>
      <c r="K220" s="126">
        <f>G220*H220</f>
        <v>0</v>
      </c>
      <c r="L220" s="16">
        <v>0</v>
      </c>
      <c r="M220" s="16">
        <f>G220*L220</f>
        <v>0</v>
      </c>
      <c r="N220" s="5"/>
      <c r="Y220" s="26">
        <f>IF(AP220="5",BI220,0)</f>
        <v>0</v>
      </c>
      <c r="AA220" s="26">
        <f>IF(AP220="1",BG220,0)</f>
        <v>0</v>
      </c>
      <c r="AB220" s="26">
        <f>IF(AP220="1",BH220,0)</f>
        <v>0</v>
      </c>
      <c r="AC220" s="26">
        <f>IF(AP220="7",BG220,0)</f>
        <v>0</v>
      </c>
      <c r="AD220" s="26">
        <f>IF(AP220="7",BH220,0)</f>
        <v>0</v>
      </c>
      <c r="AE220" s="26">
        <f>IF(AP220="2",BG220,0)</f>
        <v>0</v>
      </c>
      <c r="AF220" s="26">
        <f>IF(AP220="2",BH220,0)</f>
        <v>0</v>
      </c>
      <c r="AG220" s="26">
        <f>IF(AP220="0",BI220,0)</f>
        <v>0</v>
      </c>
      <c r="AH220" s="24" t="s">
        <v>273</v>
      </c>
      <c r="AI220" s="16">
        <f>IF(AM220=0,K220,0)</f>
        <v>0</v>
      </c>
      <c r="AJ220" s="16">
        <f>IF(AM220=15,K220,0)</f>
        <v>0</v>
      </c>
      <c r="AK220" s="16">
        <f>IF(AM220=21,K220,0)</f>
        <v>0</v>
      </c>
      <c r="AM220" s="26">
        <v>15</v>
      </c>
      <c r="AN220" s="26">
        <f>H220*0</f>
        <v>0</v>
      </c>
      <c r="AO220" s="26">
        <f>H220*(1-0)</f>
        <v>0</v>
      </c>
      <c r="AP220" s="27" t="s">
        <v>13</v>
      </c>
      <c r="AU220" s="26">
        <f>AV220+AW220</f>
        <v>0</v>
      </c>
      <c r="AV220" s="26">
        <f>G220*AN220</f>
        <v>0</v>
      </c>
      <c r="AW220" s="26">
        <f>G220*AO220</f>
        <v>0</v>
      </c>
      <c r="AX220" s="29" t="s">
        <v>898</v>
      </c>
      <c r="AY220" s="29" t="s">
        <v>927</v>
      </c>
      <c r="AZ220" s="24" t="s">
        <v>937</v>
      </c>
      <c r="BB220" s="26">
        <f>AV220+AW220</f>
        <v>0</v>
      </c>
      <c r="BC220" s="26">
        <f>H220/(100-BD220)*100</f>
        <v>0</v>
      </c>
      <c r="BD220" s="26">
        <v>0</v>
      </c>
      <c r="BE220" s="26">
        <f>M220</f>
        <v>0</v>
      </c>
      <c r="BG220" s="16">
        <f>G220*AN220</f>
        <v>0</v>
      </c>
      <c r="BH220" s="16">
        <f>G220*AO220</f>
        <v>0</v>
      </c>
      <c r="BI220" s="16">
        <f>G220*H220</f>
        <v>0</v>
      </c>
      <c r="BJ220" s="16" t="s">
        <v>945</v>
      </c>
      <c r="BK220" s="26">
        <v>766</v>
      </c>
    </row>
    <row r="221" spans="1:14" s="58" customFormat="1" ht="12.75">
      <c r="A221" s="57"/>
      <c r="C221" s="59" t="s">
        <v>991</v>
      </c>
      <c r="D221" s="232" t="s">
        <v>1067</v>
      </c>
      <c r="E221" s="233"/>
      <c r="F221" s="233"/>
      <c r="G221" s="233"/>
      <c r="H221" s="233"/>
      <c r="I221" s="233"/>
      <c r="J221" s="233"/>
      <c r="K221" s="233"/>
      <c r="L221" s="233"/>
      <c r="M221" s="233"/>
      <c r="N221" s="57"/>
    </row>
    <row r="222" spans="1:46" ht="12.75">
      <c r="A222" s="3"/>
      <c r="B222" s="11" t="s">
        <v>273</v>
      </c>
      <c r="C222" s="52" t="s">
        <v>389</v>
      </c>
      <c r="D222" s="228" t="s">
        <v>669</v>
      </c>
      <c r="E222" s="229"/>
      <c r="F222" s="61" t="s">
        <v>6</v>
      </c>
      <c r="G222" s="61" t="s">
        <v>6</v>
      </c>
      <c r="H222" s="61" t="s">
        <v>6</v>
      </c>
      <c r="I222" s="31">
        <f>SUM(I223:I225)</f>
        <v>0</v>
      </c>
      <c r="J222" s="31">
        <f>SUM(J223:J225)</f>
        <v>0</v>
      </c>
      <c r="K222" s="128">
        <f>SUM(K223:K225)</f>
        <v>0</v>
      </c>
      <c r="L222" s="24"/>
      <c r="M222" s="31">
        <f>SUM(M223:M225)</f>
        <v>0.4734465</v>
      </c>
      <c r="N222" s="5"/>
      <c r="AH222" s="24" t="s">
        <v>273</v>
      </c>
      <c r="AR222" s="31">
        <f>SUM(AI223:AI225)</f>
        <v>0</v>
      </c>
      <c r="AS222" s="31">
        <f>SUM(AJ223:AJ225)</f>
        <v>0</v>
      </c>
      <c r="AT222" s="31">
        <f>SUM(AK223:AK225)</f>
        <v>0</v>
      </c>
    </row>
    <row r="223" spans="1:63" ht="12.75">
      <c r="A223" s="4" t="s">
        <v>118</v>
      </c>
      <c r="B223" s="12" t="s">
        <v>273</v>
      </c>
      <c r="C223" s="53" t="s">
        <v>390</v>
      </c>
      <c r="D223" s="230" t="s">
        <v>670</v>
      </c>
      <c r="E223" s="231"/>
      <c r="F223" s="62" t="s">
        <v>846</v>
      </c>
      <c r="G223" s="104">
        <v>0.87</v>
      </c>
      <c r="H223" s="104"/>
      <c r="I223" s="16">
        <f>G223*AN223</f>
        <v>0</v>
      </c>
      <c r="J223" s="16">
        <f>G223*AO223</f>
        <v>0</v>
      </c>
      <c r="K223" s="126">
        <f>G223*H223</f>
        <v>0</v>
      </c>
      <c r="L223" s="16">
        <v>0.01067</v>
      </c>
      <c r="M223" s="16">
        <f>G223*L223</f>
        <v>0.0092829</v>
      </c>
      <c r="N223" s="5"/>
      <c r="Y223" s="26">
        <f>IF(AP223="5",BI223,0)</f>
        <v>0</v>
      </c>
      <c r="AA223" s="26">
        <f>IF(AP223="1",BG223,0)</f>
        <v>0</v>
      </c>
      <c r="AB223" s="26">
        <f>IF(AP223="1",BH223,0)</f>
        <v>0</v>
      </c>
      <c r="AC223" s="26">
        <f>IF(AP223="7",BG223,0)</f>
        <v>0</v>
      </c>
      <c r="AD223" s="26">
        <f>IF(AP223="7",BH223,0)</f>
        <v>0</v>
      </c>
      <c r="AE223" s="26">
        <f>IF(AP223="2",BG223,0)</f>
        <v>0</v>
      </c>
      <c r="AF223" s="26">
        <f>IF(AP223="2",BH223,0)</f>
        <v>0</v>
      </c>
      <c r="AG223" s="26">
        <f>IF(AP223="0",BI223,0)</f>
        <v>0</v>
      </c>
      <c r="AH223" s="24" t="s">
        <v>273</v>
      </c>
      <c r="AI223" s="16">
        <f>IF(AM223=0,K223,0)</f>
        <v>0</v>
      </c>
      <c r="AJ223" s="16">
        <f>IF(AM223=15,K223,0)</f>
        <v>0</v>
      </c>
      <c r="AK223" s="16">
        <f>IF(AM223=21,K223,0)</f>
        <v>0</v>
      </c>
      <c r="AM223" s="26">
        <v>15</v>
      </c>
      <c r="AN223" s="26">
        <f>H223*0.390265508787967</f>
        <v>0</v>
      </c>
      <c r="AO223" s="26">
        <f>H223*(1-0.390265508787967)</f>
        <v>0</v>
      </c>
      <c r="AP223" s="27" t="s">
        <v>13</v>
      </c>
      <c r="AU223" s="26">
        <f>AV223+AW223</f>
        <v>0</v>
      </c>
      <c r="AV223" s="26">
        <f>G223*AN223</f>
        <v>0</v>
      </c>
      <c r="AW223" s="26">
        <f>G223*AO223</f>
        <v>0</v>
      </c>
      <c r="AX223" s="29" t="s">
        <v>899</v>
      </c>
      <c r="AY223" s="29" t="s">
        <v>928</v>
      </c>
      <c r="AZ223" s="24" t="s">
        <v>937</v>
      </c>
      <c r="BB223" s="26">
        <f>AV223+AW223</f>
        <v>0</v>
      </c>
      <c r="BC223" s="26">
        <f>H223/(100-BD223)*100</f>
        <v>0</v>
      </c>
      <c r="BD223" s="26">
        <v>0</v>
      </c>
      <c r="BE223" s="26">
        <f>M223</f>
        <v>0.0092829</v>
      </c>
      <c r="BG223" s="16">
        <f>G223*AN223</f>
        <v>0</v>
      </c>
      <c r="BH223" s="16">
        <f>G223*AO223</f>
        <v>0</v>
      </c>
      <c r="BI223" s="16">
        <f>G223*H223</f>
        <v>0</v>
      </c>
      <c r="BJ223" s="16" t="s">
        <v>945</v>
      </c>
      <c r="BK223" s="26">
        <v>781</v>
      </c>
    </row>
    <row r="224" spans="1:14" s="58" customFormat="1" ht="12.75">
      <c r="A224" s="57"/>
      <c r="C224" s="59" t="s">
        <v>1004</v>
      </c>
      <c r="D224" s="234" t="s">
        <v>1068</v>
      </c>
      <c r="E224" s="235"/>
      <c r="F224" s="235"/>
      <c r="G224" s="235"/>
      <c r="H224" s="235"/>
      <c r="I224" s="235"/>
      <c r="J224" s="235"/>
      <c r="K224" s="235"/>
      <c r="L224" s="235"/>
      <c r="M224" s="235"/>
      <c r="N224" s="57"/>
    </row>
    <row r="225" spans="1:63" ht="12.75">
      <c r="A225" s="4" t="s">
        <v>119</v>
      </c>
      <c r="B225" s="12" t="s">
        <v>273</v>
      </c>
      <c r="C225" s="53" t="s">
        <v>391</v>
      </c>
      <c r="D225" s="230" t="s">
        <v>671</v>
      </c>
      <c r="E225" s="231"/>
      <c r="F225" s="62" t="s">
        <v>846</v>
      </c>
      <c r="G225" s="104">
        <v>36.78</v>
      </c>
      <c r="H225" s="104"/>
      <c r="I225" s="16">
        <f>G225*AN225</f>
        <v>0</v>
      </c>
      <c r="J225" s="16">
        <f>G225*AO225</f>
        <v>0</v>
      </c>
      <c r="K225" s="126">
        <f>G225*H225</f>
        <v>0</v>
      </c>
      <c r="L225" s="16">
        <v>0.01262</v>
      </c>
      <c r="M225" s="16">
        <f>G225*L225</f>
        <v>0.4641636</v>
      </c>
      <c r="N225" s="5"/>
      <c r="Y225" s="26">
        <f>IF(AP225="5",BI225,0)</f>
        <v>0</v>
      </c>
      <c r="AA225" s="26">
        <f>IF(AP225="1",BG225,0)</f>
        <v>0</v>
      </c>
      <c r="AB225" s="26">
        <f>IF(AP225="1",BH225,0)</f>
        <v>0</v>
      </c>
      <c r="AC225" s="26">
        <f>IF(AP225="7",BG225,0)</f>
        <v>0</v>
      </c>
      <c r="AD225" s="26">
        <f>IF(AP225="7",BH225,0)</f>
        <v>0</v>
      </c>
      <c r="AE225" s="26">
        <f>IF(AP225="2",BG225,0)</f>
        <v>0</v>
      </c>
      <c r="AF225" s="26">
        <f>IF(AP225="2",BH225,0)</f>
        <v>0</v>
      </c>
      <c r="AG225" s="26">
        <f>IF(AP225="0",BI225,0)</f>
        <v>0</v>
      </c>
      <c r="AH225" s="24" t="s">
        <v>273</v>
      </c>
      <c r="AI225" s="16">
        <f>IF(AM225=0,K225,0)</f>
        <v>0</v>
      </c>
      <c r="AJ225" s="16">
        <f>IF(AM225=15,K225,0)</f>
        <v>0</v>
      </c>
      <c r="AK225" s="16">
        <f>IF(AM225=21,K225,0)</f>
        <v>0</v>
      </c>
      <c r="AM225" s="26">
        <v>15</v>
      </c>
      <c r="AN225" s="26">
        <f>H225*0.5271025993722</f>
        <v>0</v>
      </c>
      <c r="AO225" s="26">
        <f>H225*(1-0.5271025993722)</f>
        <v>0</v>
      </c>
      <c r="AP225" s="27" t="s">
        <v>13</v>
      </c>
      <c r="AU225" s="26">
        <f>AV225+AW225</f>
        <v>0</v>
      </c>
      <c r="AV225" s="26">
        <f>G225*AN225</f>
        <v>0</v>
      </c>
      <c r="AW225" s="26">
        <f>G225*AO225</f>
        <v>0</v>
      </c>
      <c r="AX225" s="29" t="s">
        <v>899</v>
      </c>
      <c r="AY225" s="29" t="s">
        <v>928</v>
      </c>
      <c r="AZ225" s="24" t="s">
        <v>937</v>
      </c>
      <c r="BB225" s="26">
        <f>AV225+AW225</f>
        <v>0</v>
      </c>
      <c r="BC225" s="26">
        <f>H225/(100-BD225)*100</f>
        <v>0</v>
      </c>
      <c r="BD225" s="26">
        <v>0</v>
      </c>
      <c r="BE225" s="26">
        <f>M225</f>
        <v>0.4641636</v>
      </c>
      <c r="BG225" s="16">
        <f>G225*AN225</f>
        <v>0</v>
      </c>
      <c r="BH225" s="16">
        <f>G225*AO225</f>
        <v>0</v>
      </c>
      <c r="BI225" s="16">
        <f>G225*H225</f>
        <v>0</v>
      </c>
      <c r="BJ225" s="16" t="s">
        <v>945</v>
      </c>
      <c r="BK225" s="26">
        <v>781</v>
      </c>
    </row>
    <row r="226" spans="1:14" s="58" customFormat="1" ht="12.75" customHeight="1">
      <c r="A226" s="57"/>
      <c r="C226" s="59" t="s">
        <v>1004</v>
      </c>
      <c r="D226" s="234" t="s">
        <v>1068</v>
      </c>
      <c r="E226" s="235"/>
      <c r="F226" s="235"/>
      <c r="G226" s="235"/>
      <c r="H226" s="235"/>
      <c r="I226" s="235"/>
      <c r="J226" s="235"/>
      <c r="K226" s="235"/>
      <c r="L226" s="235"/>
      <c r="M226" s="235"/>
      <c r="N226" s="57"/>
    </row>
    <row r="227" spans="1:46" ht="12.75">
      <c r="A227" s="3"/>
      <c r="B227" s="11" t="s">
        <v>273</v>
      </c>
      <c r="C227" s="52" t="s">
        <v>392</v>
      </c>
      <c r="D227" s="228" t="s">
        <v>672</v>
      </c>
      <c r="E227" s="229"/>
      <c r="F227" s="61" t="s">
        <v>6</v>
      </c>
      <c r="G227" s="61" t="s">
        <v>6</v>
      </c>
      <c r="H227" s="61" t="s">
        <v>6</v>
      </c>
      <c r="I227" s="31">
        <f>SUM(I228:I231)</f>
        <v>0</v>
      </c>
      <c r="J227" s="31">
        <f>SUM(J228:J231)</f>
        <v>0</v>
      </c>
      <c r="K227" s="128">
        <f>SUM(K228:K231)</f>
        <v>0</v>
      </c>
      <c r="L227" s="24"/>
      <c r="M227" s="31">
        <f>SUM(M228:M231)</f>
        <v>0.007639781700000001</v>
      </c>
      <c r="N227" s="5"/>
      <c r="AH227" s="24" t="s">
        <v>273</v>
      </c>
      <c r="AR227" s="31">
        <f>SUM(AI228:AI231)</f>
        <v>0</v>
      </c>
      <c r="AS227" s="31">
        <f>SUM(AJ228:AJ231)</f>
        <v>0</v>
      </c>
      <c r="AT227" s="31">
        <f>SUM(AK228:AK231)</f>
        <v>0</v>
      </c>
    </row>
    <row r="228" spans="1:63" ht="12.75">
      <c r="A228" s="4" t="s">
        <v>121</v>
      </c>
      <c r="B228" s="12" t="s">
        <v>273</v>
      </c>
      <c r="C228" s="53" t="s">
        <v>394</v>
      </c>
      <c r="D228" s="230" t="s">
        <v>674</v>
      </c>
      <c r="E228" s="231"/>
      <c r="F228" s="62" t="s">
        <v>847</v>
      </c>
      <c r="G228" s="104">
        <v>11.92191</v>
      </c>
      <c r="H228" s="104"/>
      <c r="I228" s="16">
        <f>G228*AN228</f>
        <v>0</v>
      </c>
      <c r="J228" s="16">
        <f>G228*AO228</f>
        <v>0</v>
      </c>
      <c r="K228" s="126">
        <f>G228*H228</f>
        <v>0</v>
      </c>
      <c r="L228" s="16">
        <v>0.00037</v>
      </c>
      <c r="M228" s="16">
        <f>G228*L228</f>
        <v>0.0044111067</v>
      </c>
      <c r="N228" s="5"/>
      <c r="Y228" s="26">
        <f>IF(AP228="5",BI228,0)</f>
        <v>0</v>
      </c>
      <c r="AA228" s="26">
        <f>IF(AP228="1",BG228,0)</f>
        <v>0</v>
      </c>
      <c r="AB228" s="26">
        <f>IF(AP228="1",BH228,0)</f>
        <v>0</v>
      </c>
      <c r="AC228" s="26">
        <f>IF(AP228="7",BG228,0)</f>
        <v>0</v>
      </c>
      <c r="AD228" s="26">
        <f>IF(AP228="7",BH228,0)</f>
        <v>0</v>
      </c>
      <c r="AE228" s="26">
        <f>IF(AP228="2",BG228,0)</f>
        <v>0</v>
      </c>
      <c r="AF228" s="26">
        <f>IF(AP228="2",BH228,0)</f>
        <v>0</v>
      </c>
      <c r="AG228" s="26">
        <f>IF(AP228="0",BI228,0)</f>
        <v>0</v>
      </c>
      <c r="AH228" s="24" t="s">
        <v>273</v>
      </c>
      <c r="AI228" s="16">
        <f>IF(AM228=0,K228,0)</f>
        <v>0</v>
      </c>
      <c r="AJ228" s="16">
        <f>IF(AM228=15,K228,0)</f>
        <v>0</v>
      </c>
      <c r="AK228" s="16">
        <f>IF(AM228=21,K228,0)</f>
        <v>0</v>
      </c>
      <c r="AM228" s="26">
        <v>15</v>
      </c>
      <c r="AN228" s="26">
        <f>H228*0.515115552738337</f>
        <v>0</v>
      </c>
      <c r="AO228" s="26">
        <f>H228*(1-0.515115552738337)</f>
        <v>0</v>
      </c>
      <c r="AP228" s="27" t="s">
        <v>13</v>
      </c>
      <c r="AU228" s="26">
        <f>AV228+AW228</f>
        <v>0</v>
      </c>
      <c r="AV228" s="26">
        <f>G228*AN228</f>
        <v>0</v>
      </c>
      <c r="AW228" s="26">
        <f>G228*AO228</f>
        <v>0</v>
      </c>
      <c r="AX228" s="29" t="s">
        <v>900</v>
      </c>
      <c r="AY228" s="29" t="s">
        <v>928</v>
      </c>
      <c r="AZ228" s="24" t="s">
        <v>937</v>
      </c>
      <c r="BB228" s="26">
        <f>AV228+AW228</f>
        <v>0</v>
      </c>
      <c r="BC228" s="26">
        <f>H228/(100-BD228)*100</f>
        <v>0</v>
      </c>
      <c r="BD228" s="26">
        <v>0</v>
      </c>
      <c r="BE228" s="26">
        <f>M228</f>
        <v>0.0044111067</v>
      </c>
      <c r="BG228" s="16">
        <f>G228*AN228</f>
        <v>0</v>
      </c>
      <c r="BH228" s="16">
        <f>G228*AO228</f>
        <v>0</v>
      </c>
      <c r="BI228" s="16">
        <f>G228*H228</f>
        <v>0</v>
      </c>
      <c r="BJ228" s="16" t="s">
        <v>945</v>
      </c>
      <c r="BK228" s="26">
        <v>783</v>
      </c>
    </row>
    <row r="229" spans="1:14" s="58" customFormat="1" ht="12.75">
      <c r="A229" s="57"/>
      <c r="C229" s="59" t="s">
        <v>991</v>
      </c>
      <c r="D229" s="232" t="s">
        <v>1069</v>
      </c>
      <c r="E229" s="233"/>
      <c r="F229" s="233"/>
      <c r="G229" s="233"/>
      <c r="H229" s="233"/>
      <c r="I229" s="233"/>
      <c r="J229" s="233"/>
      <c r="K229" s="233"/>
      <c r="L229" s="233"/>
      <c r="M229" s="233"/>
      <c r="N229" s="57"/>
    </row>
    <row r="230" spans="1:63" ht="12.75">
      <c r="A230" s="4" t="s">
        <v>122</v>
      </c>
      <c r="B230" s="12" t="s">
        <v>273</v>
      </c>
      <c r="C230" s="53" t="s">
        <v>395</v>
      </c>
      <c r="D230" s="230" t="s">
        <v>675</v>
      </c>
      <c r="E230" s="231"/>
      <c r="F230" s="62" t="s">
        <v>847</v>
      </c>
      <c r="G230" s="104">
        <v>12.9147</v>
      </c>
      <c r="H230" s="104"/>
      <c r="I230" s="16">
        <f>G230*AN230</f>
        <v>0</v>
      </c>
      <c r="J230" s="16">
        <f>G230*AO230</f>
        <v>0</v>
      </c>
      <c r="K230" s="126">
        <f>G230*H230</f>
        <v>0</v>
      </c>
      <c r="L230" s="16">
        <v>0.00025</v>
      </c>
      <c r="M230" s="16">
        <f>G230*L230</f>
        <v>0.003228675</v>
      </c>
      <c r="N230" s="5"/>
      <c r="Y230" s="26">
        <f>IF(AP230="5",BI230,0)</f>
        <v>0</v>
      </c>
      <c r="AA230" s="26">
        <f>IF(AP230="1",BG230,0)</f>
        <v>0</v>
      </c>
      <c r="AB230" s="26">
        <f>IF(AP230="1",BH230,0)</f>
        <v>0</v>
      </c>
      <c r="AC230" s="26">
        <f>IF(AP230="7",BG230,0)</f>
        <v>0</v>
      </c>
      <c r="AD230" s="26">
        <f>IF(AP230="7",BH230,0)</f>
        <v>0</v>
      </c>
      <c r="AE230" s="26">
        <f>IF(AP230="2",BG230,0)</f>
        <v>0</v>
      </c>
      <c r="AF230" s="26">
        <f>IF(AP230="2",BH230,0)</f>
        <v>0</v>
      </c>
      <c r="AG230" s="26">
        <f>IF(AP230="0",BI230,0)</f>
        <v>0</v>
      </c>
      <c r="AH230" s="24" t="s">
        <v>273</v>
      </c>
      <c r="AI230" s="16">
        <f>IF(AM230=0,K230,0)</f>
        <v>0</v>
      </c>
      <c r="AJ230" s="16">
        <f>IF(AM230=15,K230,0)</f>
        <v>0</v>
      </c>
      <c r="AK230" s="16">
        <f>IF(AM230=21,K230,0)</f>
        <v>0</v>
      </c>
      <c r="AM230" s="26">
        <v>15</v>
      </c>
      <c r="AN230" s="26">
        <f>H230*0.527569498671391</f>
        <v>0</v>
      </c>
      <c r="AO230" s="26">
        <f>H230*(1-0.527569498671391)</f>
        <v>0</v>
      </c>
      <c r="AP230" s="27" t="s">
        <v>13</v>
      </c>
      <c r="AU230" s="26">
        <f>AV230+AW230</f>
        <v>0</v>
      </c>
      <c r="AV230" s="26">
        <f>G230*AN230</f>
        <v>0</v>
      </c>
      <c r="AW230" s="26">
        <f>G230*AO230</f>
        <v>0</v>
      </c>
      <c r="AX230" s="29" t="s">
        <v>900</v>
      </c>
      <c r="AY230" s="29" t="s">
        <v>928</v>
      </c>
      <c r="AZ230" s="24" t="s">
        <v>937</v>
      </c>
      <c r="BB230" s="26">
        <f>AV230+AW230</f>
        <v>0</v>
      </c>
      <c r="BC230" s="26">
        <f>H230/(100-BD230)*100</f>
        <v>0</v>
      </c>
      <c r="BD230" s="26">
        <v>0</v>
      </c>
      <c r="BE230" s="26">
        <f>M230</f>
        <v>0.003228675</v>
      </c>
      <c r="BG230" s="16">
        <f>G230*AN230</f>
        <v>0</v>
      </c>
      <c r="BH230" s="16">
        <f>G230*AO230</f>
        <v>0</v>
      </c>
      <c r="BI230" s="16">
        <f>G230*H230</f>
        <v>0</v>
      </c>
      <c r="BJ230" s="16" t="s">
        <v>945</v>
      </c>
      <c r="BK230" s="26">
        <v>783</v>
      </c>
    </row>
    <row r="231" spans="1:14" s="58" customFormat="1" ht="12.75">
      <c r="A231" s="57"/>
      <c r="C231" s="59" t="s">
        <v>991</v>
      </c>
      <c r="D231" s="232" t="s">
        <v>1070</v>
      </c>
      <c r="E231" s="233"/>
      <c r="F231" s="233"/>
      <c r="G231" s="233"/>
      <c r="H231" s="233"/>
      <c r="I231" s="233"/>
      <c r="J231" s="233"/>
      <c r="K231" s="233"/>
      <c r="L231" s="233"/>
      <c r="M231" s="233"/>
      <c r="N231" s="57"/>
    </row>
    <row r="232" spans="1:46" ht="12.75">
      <c r="A232" s="3"/>
      <c r="B232" s="11" t="s">
        <v>273</v>
      </c>
      <c r="C232" s="52" t="s">
        <v>397</v>
      </c>
      <c r="D232" s="228" t="s">
        <v>677</v>
      </c>
      <c r="E232" s="229"/>
      <c r="F232" s="61" t="s">
        <v>6</v>
      </c>
      <c r="G232" s="61" t="s">
        <v>6</v>
      </c>
      <c r="H232" s="61" t="s">
        <v>6</v>
      </c>
      <c r="I232" s="31">
        <f>SUM(I233:I239)</f>
        <v>0</v>
      </c>
      <c r="J232" s="31">
        <f>SUM(J233:J239)</f>
        <v>0</v>
      </c>
      <c r="K232" s="128">
        <f>SUM(K233:K239)</f>
        <v>0</v>
      </c>
      <c r="L232" s="24"/>
      <c r="M232" s="31">
        <f>SUM(M233:M239)</f>
        <v>0.086234545</v>
      </c>
      <c r="N232" s="5"/>
      <c r="AH232" s="24" t="s">
        <v>273</v>
      </c>
      <c r="AR232" s="31">
        <f>SUM(AI233:AI239)</f>
        <v>0</v>
      </c>
      <c r="AS232" s="31">
        <f>SUM(AJ233:AJ239)</f>
        <v>0</v>
      </c>
      <c r="AT232" s="31">
        <f>SUM(AK233:AK239)</f>
        <v>0</v>
      </c>
    </row>
    <row r="233" spans="1:63" ht="12.75">
      <c r="A233" s="4" t="s">
        <v>124</v>
      </c>
      <c r="B233" s="12" t="s">
        <v>273</v>
      </c>
      <c r="C233" s="53" t="s">
        <v>398</v>
      </c>
      <c r="D233" s="230" t="s">
        <v>678</v>
      </c>
      <c r="E233" s="231"/>
      <c r="F233" s="62" t="s">
        <v>847</v>
      </c>
      <c r="G233" s="104">
        <v>81.8</v>
      </c>
      <c r="H233" s="104"/>
      <c r="I233" s="16">
        <f>G233*AN233</f>
        <v>0</v>
      </c>
      <c r="J233" s="16">
        <f>G233*AO233</f>
        <v>0</v>
      </c>
      <c r="K233" s="126">
        <f>G233*H233</f>
        <v>0</v>
      </c>
      <c r="L233" s="16">
        <v>0.00063</v>
      </c>
      <c r="M233" s="16">
        <f>G233*L233</f>
        <v>0.051534</v>
      </c>
      <c r="N233" s="5"/>
      <c r="Y233" s="26">
        <f>IF(AP233="5",BI233,0)</f>
        <v>0</v>
      </c>
      <c r="AA233" s="26">
        <f>IF(AP233="1",BG233,0)</f>
        <v>0</v>
      </c>
      <c r="AB233" s="26">
        <f>IF(AP233="1",BH233,0)</f>
        <v>0</v>
      </c>
      <c r="AC233" s="26">
        <f>IF(AP233="7",BG233,0)</f>
        <v>0</v>
      </c>
      <c r="AD233" s="26">
        <f>IF(AP233="7",BH233,0)</f>
        <v>0</v>
      </c>
      <c r="AE233" s="26">
        <f>IF(AP233="2",BG233,0)</f>
        <v>0</v>
      </c>
      <c r="AF233" s="26">
        <f>IF(AP233="2",BH233,0)</f>
        <v>0</v>
      </c>
      <c r="AG233" s="26">
        <f>IF(AP233="0",BI233,0)</f>
        <v>0</v>
      </c>
      <c r="AH233" s="24" t="s">
        <v>273</v>
      </c>
      <c r="AI233" s="16">
        <f>IF(AM233=0,K233,0)</f>
        <v>0</v>
      </c>
      <c r="AJ233" s="16">
        <f>IF(AM233=15,K233,0)</f>
        <v>0</v>
      </c>
      <c r="AK233" s="16">
        <f>IF(AM233=21,K233,0)</f>
        <v>0</v>
      </c>
      <c r="AM233" s="26">
        <v>15</v>
      </c>
      <c r="AN233" s="26">
        <f>H233*0.232446910832601</f>
        <v>0</v>
      </c>
      <c r="AO233" s="26">
        <f>H233*(1-0.232446910832601)</f>
        <v>0</v>
      </c>
      <c r="AP233" s="27" t="s">
        <v>13</v>
      </c>
      <c r="AU233" s="26">
        <f>AV233+AW233</f>
        <v>0</v>
      </c>
      <c r="AV233" s="26">
        <f>G233*AN233</f>
        <v>0</v>
      </c>
      <c r="AW233" s="26">
        <f>G233*AO233</f>
        <v>0</v>
      </c>
      <c r="AX233" s="29" t="s">
        <v>901</v>
      </c>
      <c r="AY233" s="29" t="s">
        <v>928</v>
      </c>
      <c r="AZ233" s="24" t="s">
        <v>937</v>
      </c>
      <c r="BB233" s="26">
        <f>AV233+AW233</f>
        <v>0</v>
      </c>
      <c r="BC233" s="26">
        <f>H233/(100-BD233)*100</f>
        <v>0</v>
      </c>
      <c r="BD233" s="26">
        <v>0</v>
      </c>
      <c r="BE233" s="26">
        <f>M233</f>
        <v>0.051534</v>
      </c>
      <c r="BG233" s="16">
        <f>G233*AN233</f>
        <v>0</v>
      </c>
      <c r="BH233" s="16">
        <f>G233*AO233</f>
        <v>0</v>
      </c>
      <c r="BI233" s="16">
        <f>G233*H233</f>
        <v>0</v>
      </c>
      <c r="BJ233" s="16" t="s">
        <v>945</v>
      </c>
      <c r="BK233" s="26">
        <v>784</v>
      </c>
    </row>
    <row r="234" spans="1:14" s="58" customFormat="1" ht="12.75">
      <c r="A234" s="57"/>
      <c r="C234" s="59" t="s">
        <v>991</v>
      </c>
      <c r="D234" s="232" t="s">
        <v>1072</v>
      </c>
      <c r="E234" s="233"/>
      <c r="F234" s="233"/>
      <c r="G234" s="233"/>
      <c r="H234" s="233"/>
      <c r="I234" s="233"/>
      <c r="J234" s="233"/>
      <c r="K234" s="233"/>
      <c r="L234" s="233"/>
      <c r="M234" s="233"/>
      <c r="N234" s="57"/>
    </row>
    <row r="235" spans="1:63" ht="12.75">
      <c r="A235" s="4" t="s">
        <v>125</v>
      </c>
      <c r="B235" s="12" t="s">
        <v>273</v>
      </c>
      <c r="C235" s="53" t="s">
        <v>399</v>
      </c>
      <c r="D235" s="230" t="s">
        <v>679</v>
      </c>
      <c r="E235" s="231"/>
      <c r="F235" s="62" t="s">
        <v>847</v>
      </c>
      <c r="G235" s="104">
        <v>27.2</v>
      </c>
      <c r="H235" s="104"/>
      <c r="I235" s="16">
        <f>G235*AN235</f>
        <v>0</v>
      </c>
      <c r="J235" s="16">
        <f>G235*AO235</f>
        <v>0</v>
      </c>
      <c r="K235" s="126">
        <f>G235*H235</f>
        <v>0</v>
      </c>
      <c r="L235" s="16">
        <v>5E-05</v>
      </c>
      <c r="M235" s="16">
        <f>G235*L235</f>
        <v>0.00136</v>
      </c>
      <c r="N235" s="5"/>
      <c r="Y235" s="26">
        <f>IF(AP235="5",BI235,0)</f>
        <v>0</v>
      </c>
      <c r="AA235" s="26">
        <f>IF(AP235="1",BG235,0)</f>
        <v>0</v>
      </c>
      <c r="AB235" s="26">
        <f>IF(AP235="1",BH235,0)</f>
        <v>0</v>
      </c>
      <c r="AC235" s="26">
        <f>IF(AP235="7",BG235,0)</f>
        <v>0</v>
      </c>
      <c r="AD235" s="26">
        <f>IF(AP235="7",BH235,0)</f>
        <v>0</v>
      </c>
      <c r="AE235" s="26">
        <f>IF(AP235="2",BG235,0)</f>
        <v>0</v>
      </c>
      <c r="AF235" s="26">
        <f>IF(AP235="2",BH235,0)</f>
        <v>0</v>
      </c>
      <c r="AG235" s="26">
        <f>IF(AP235="0",BI235,0)</f>
        <v>0</v>
      </c>
      <c r="AH235" s="24" t="s">
        <v>273</v>
      </c>
      <c r="AI235" s="16">
        <f>IF(AM235=0,K235,0)</f>
        <v>0</v>
      </c>
      <c r="AJ235" s="16">
        <f>IF(AM235=15,K235,0)</f>
        <v>0</v>
      </c>
      <c r="AK235" s="16">
        <f>IF(AM235=21,K235,0)</f>
        <v>0</v>
      </c>
      <c r="AM235" s="26">
        <v>15</v>
      </c>
      <c r="AN235" s="26">
        <f>H235*0.220597792518194</f>
        <v>0</v>
      </c>
      <c r="AO235" s="26">
        <f>H235*(1-0.220597792518194)</f>
        <v>0</v>
      </c>
      <c r="AP235" s="27" t="s">
        <v>13</v>
      </c>
      <c r="AU235" s="26">
        <f>AV235+AW235</f>
        <v>0</v>
      </c>
      <c r="AV235" s="26">
        <f>G235*AN235</f>
        <v>0</v>
      </c>
      <c r="AW235" s="26">
        <f>G235*AO235</f>
        <v>0</v>
      </c>
      <c r="AX235" s="29" t="s">
        <v>901</v>
      </c>
      <c r="AY235" s="29" t="s">
        <v>928</v>
      </c>
      <c r="AZ235" s="24" t="s">
        <v>937</v>
      </c>
      <c r="BB235" s="26">
        <f>AV235+AW235</f>
        <v>0</v>
      </c>
      <c r="BC235" s="26">
        <f>H235/(100-BD235)*100</f>
        <v>0</v>
      </c>
      <c r="BD235" s="26">
        <v>0</v>
      </c>
      <c r="BE235" s="26">
        <f>M235</f>
        <v>0.00136</v>
      </c>
      <c r="BG235" s="16">
        <f>G235*AN235</f>
        <v>0</v>
      </c>
      <c r="BH235" s="16">
        <f>G235*AO235</f>
        <v>0</v>
      </c>
      <c r="BI235" s="16">
        <f>G235*H235</f>
        <v>0</v>
      </c>
      <c r="BJ235" s="16" t="s">
        <v>945</v>
      </c>
      <c r="BK235" s="26">
        <v>784</v>
      </c>
    </row>
    <row r="236" spans="1:14" s="58" customFormat="1" ht="12.75">
      <c r="A236" s="57"/>
      <c r="C236" s="59" t="s">
        <v>991</v>
      </c>
      <c r="D236" s="232" t="s">
        <v>1071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57"/>
    </row>
    <row r="237" spans="1:63" ht="12.75">
      <c r="A237" s="4" t="s">
        <v>126</v>
      </c>
      <c r="B237" s="12" t="s">
        <v>273</v>
      </c>
      <c r="C237" s="53" t="s">
        <v>400</v>
      </c>
      <c r="D237" s="230" t="s">
        <v>680</v>
      </c>
      <c r="E237" s="231"/>
      <c r="F237" s="62" t="s">
        <v>847</v>
      </c>
      <c r="G237" s="104">
        <v>27.2</v>
      </c>
      <c r="H237" s="104"/>
      <c r="I237" s="16">
        <f>G237*AN237</f>
        <v>0</v>
      </c>
      <c r="J237" s="16">
        <f>G237*AO237</f>
        <v>0</v>
      </c>
      <c r="K237" s="126">
        <f>G237*H237</f>
        <v>0</v>
      </c>
      <c r="L237" s="16">
        <v>0.00027</v>
      </c>
      <c r="M237" s="16">
        <f>G237*L237</f>
        <v>0.007344</v>
      </c>
      <c r="N237" s="5"/>
      <c r="Y237" s="26">
        <f>IF(AP237="5",BI237,0)</f>
        <v>0</v>
      </c>
      <c r="AA237" s="26">
        <f>IF(AP237="1",BG237,0)</f>
        <v>0</v>
      </c>
      <c r="AB237" s="26">
        <f>IF(AP237="1",BH237,0)</f>
        <v>0</v>
      </c>
      <c r="AC237" s="26">
        <f>IF(AP237="7",BG237,0)</f>
        <v>0</v>
      </c>
      <c r="AD237" s="26">
        <f>IF(AP237="7",BH237,0)</f>
        <v>0</v>
      </c>
      <c r="AE237" s="26">
        <f>IF(AP237="2",BG237,0)</f>
        <v>0</v>
      </c>
      <c r="AF237" s="26">
        <f>IF(AP237="2",BH237,0)</f>
        <v>0</v>
      </c>
      <c r="AG237" s="26">
        <f>IF(AP237="0",BI237,0)</f>
        <v>0</v>
      </c>
      <c r="AH237" s="24" t="s">
        <v>273</v>
      </c>
      <c r="AI237" s="16">
        <f>IF(AM237=0,K237,0)</f>
        <v>0</v>
      </c>
      <c r="AJ237" s="16">
        <f>IF(AM237=15,K237,0)</f>
        <v>0</v>
      </c>
      <c r="AK237" s="16">
        <f>IF(AM237=21,K237,0)</f>
        <v>0</v>
      </c>
      <c r="AM237" s="26">
        <v>15</v>
      </c>
      <c r="AN237" s="26">
        <f>H237*0.256456761225058</f>
        <v>0</v>
      </c>
      <c r="AO237" s="26">
        <f>H237*(1-0.256456761225058)</f>
        <v>0</v>
      </c>
      <c r="AP237" s="27" t="s">
        <v>13</v>
      </c>
      <c r="AU237" s="26">
        <f>AV237+AW237</f>
        <v>0</v>
      </c>
      <c r="AV237" s="26">
        <f>G237*AN237</f>
        <v>0</v>
      </c>
      <c r="AW237" s="26">
        <f>G237*AO237</f>
        <v>0</v>
      </c>
      <c r="AX237" s="29" t="s">
        <v>901</v>
      </c>
      <c r="AY237" s="29" t="s">
        <v>928</v>
      </c>
      <c r="AZ237" s="24" t="s">
        <v>937</v>
      </c>
      <c r="BB237" s="26">
        <f>AV237+AW237</f>
        <v>0</v>
      </c>
      <c r="BC237" s="26">
        <f>H237/(100-BD237)*100</f>
        <v>0</v>
      </c>
      <c r="BD237" s="26">
        <v>0</v>
      </c>
      <c r="BE237" s="26">
        <f>M237</f>
        <v>0.007344</v>
      </c>
      <c r="BG237" s="16">
        <f>G237*AN237</f>
        <v>0</v>
      </c>
      <c r="BH237" s="16">
        <f>G237*AO237</f>
        <v>0</v>
      </c>
      <c r="BI237" s="16">
        <f>G237*H237</f>
        <v>0</v>
      </c>
      <c r="BJ237" s="16" t="s">
        <v>945</v>
      </c>
      <c r="BK237" s="26">
        <v>784</v>
      </c>
    </row>
    <row r="238" spans="1:14" s="58" customFormat="1" ht="12.75">
      <c r="A238" s="57"/>
      <c r="C238" s="59" t="s">
        <v>991</v>
      </c>
      <c r="D238" s="232" t="s">
        <v>1071</v>
      </c>
      <c r="E238" s="233"/>
      <c r="F238" s="233"/>
      <c r="G238" s="233"/>
      <c r="H238" s="233"/>
      <c r="I238" s="233"/>
      <c r="J238" s="233"/>
      <c r="K238" s="233"/>
      <c r="L238" s="233"/>
      <c r="M238" s="233"/>
      <c r="N238" s="57"/>
    </row>
    <row r="239" spans="1:63" ht="12.75">
      <c r="A239" s="4" t="s">
        <v>127</v>
      </c>
      <c r="B239" s="12" t="s">
        <v>273</v>
      </c>
      <c r="C239" s="53" t="s">
        <v>401</v>
      </c>
      <c r="D239" s="230" t="s">
        <v>681</v>
      </c>
      <c r="E239" s="231"/>
      <c r="F239" s="62" t="s">
        <v>847</v>
      </c>
      <c r="G239" s="104">
        <v>96.2835</v>
      </c>
      <c r="H239" s="104"/>
      <c r="I239" s="16">
        <f>G239*AN239</f>
        <v>0</v>
      </c>
      <c r="J239" s="16">
        <f>G239*AO239</f>
        <v>0</v>
      </c>
      <c r="K239" s="126">
        <f>G239*H239</f>
        <v>0</v>
      </c>
      <c r="L239" s="16">
        <v>0.00027</v>
      </c>
      <c r="M239" s="16">
        <f>G239*L239</f>
        <v>0.025996545000000003</v>
      </c>
      <c r="N239" s="5"/>
      <c r="Y239" s="26">
        <f>IF(AP239="5",BI239,0)</f>
        <v>0</v>
      </c>
      <c r="AA239" s="26">
        <f>IF(AP239="1",BG239,0)</f>
        <v>0</v>
      </c>
      <c r="AB239" s="26">
        <f>IF(AP239="1",BH239,0)</f>
        <v>0</v>
      </c>
      <c r="AC239" s="26">
        <f>IF(AP239="7",BG239,0)</f>
        <v>0</v>
      </c>
      <c r="AD239" s="26">
        <f>IF(AP239="7",BH239,0)</f>
        <v>0</v>
      </c>
      <c r="AE239" s="26">
        <f>IF(AP239="2",BG239,0)</f>
        <v>0</v>
      </c>
      <c r="AF239" s="26">
        <f>IF(AP239="2",BH239,0)</f>
        <v>0</v>
      </c>
      <c r="AG239" s="26">
        <f>IF(AP239="0",BI239,0)</f>
        <v>0</v>
      </c>
      <c r="AH239" s="24" t="s">
        <v>273</v>
      </c>
      <c r="AI239" s="16">
        <f>IF(AM239=0,K239,0)</f>
        <v>0</v>
      </c>
      <c r="AJ239" s="16">
        <f>IF(AM239=15,K239,0)</f>
        <v>0</v>
      </c>
      <c r="AK239" s="16">
        <f>IF(AM239=21,K239,0)</f>
        <v>0</v>
      </c>
      <c r="AM239" s="26">
        <v>15</v>
      </c>
      <c r="AN239" s="26">
        <f>H239*0.318738455570163</f>
        <v>0</v>
      </c>
      <c r="AO239" s="26">
        <f>H239*(1-0.318738455570163)</f>
        <v>0</v>
      </c>
      <c r="AP239" s="27" t="s">
        <v>13</v>
      </c>
      <c r="AU239" s="26">
        <f>AV239+AW239</f>
        <v>0</v>
      </c>
      <c r="AV239" s="26">
        <f>G239*AN239</f>
        <v>0</v>
      </c>
      <c r="AW239" s="26">
        <f>G239*AO239</f>
        <v>0</v>
      </c>
      <c r="AX239" s="29" t="s">
        <v>901</v>
      </c>
      <c r="AY239" s="29" t="s">
        <v>928</v>
      </c>
      <c r="AZ239" s="24" t="s">
        <v>937</v>
      </c>
      <c r="BB239" s="26">
        <f>AV239+AW239</f>
        <v>0</v>
      </c>
      <c r="BC239" s="26">
        <f>H239/(100-BD239)*100</f>
        <v>0</v>
      </c>
      <c r="BD239" s="26">
        <v>0</v>
      </c>
      <c r="BE239" s="26">
        <f>M239</f>
        <v>0.025996545000000003</v>
      </c>
      <c r="BG239" s="16">
        <f>G239*AN239</f>
        <v>0</v>
      </c>
      <c r="BH239" s="16">
        <f>G239*AO239</f>
        <v>0</v>
      </c>
      <c r="BI239" s="16">
        <f>G239*H239</f>
        <v>0</v>
      </c>
      <c r="BJ239" s="16" t="s">
        <v>945</v>
      </c>
      <c r="BK239" s="26">
        <v>784</v>
      </c>
    </row>
    <row r="240" spans="1:14" s="58" customFormat="1" ht="12.75">
      <c r="A240" s="57"/>
      <c r="C240" s="59" t="s">
        <v>991</v>
      </c>
      <c r="D240" s="232" t="s">
        <v>1073</v>
      </c>
      <c r="E240" s="233"/>
      <c r="F240" s="233"/>
      <c r="G240" s="233"/>
      <c r="H240" s="233"/>
      <c r="I240" s="233"/>
      <c r="J240" s="233"/>
      <c r="K240" s="233"/>
      <c r="L240" s="233"/>
      <c r="M240" s="233"/>
      <c r="N240" s="57"/>
    </row>
    <row r="241" spans="1:46" ht="12.75">
      <c r="A241" s="3"/>
      <c r="B241" s="11" t="s">
        <v>273</v>
      </c>
      <c r="C241" s="52" t="s">
        <v>402</v>
      </c>
      <c r="D241" s="228" t="s">
        <v>682</v>
      </c>
      <c r="E241" s="229"/>
      <c r="F241" s="61" t="s">
        <v>6</v>
      </c>
      <c r="G241" s="61" t="s">
        <v>6</v>
      </c>
      <c r="H241" s="61" t="s">
        <v>6</v>
      </c>
      <c r="I241" s="31">
        <f>SUM(I242:I242)</f>
        <v>0</v>
      </c>
      <c r="J241" s="31">
        <f>SUM(J242:J242)</f>
        <v>0</v>
      </c>
      <c r="K241" s="128">
        <f>SUM(K242:K242)</f>
        <v>0</v>
      </c>
      <c r="L241" s="24"/>
      <c r="M241" s="31">
        <f>SUM(M242:M242)</f>
        <v>1.0847664000000001</v>
      </c>
      <c r="N241" s="5"/>
      <c r="AH241" s="24" t="s">
        <v>273</v>
      </c>
      <c r="AR241" s="31">
        <f>SUM(AI242:AI242)</f>
        <v>0</v>
      </c>
      <c r="AS241" s="31">
        <f>SUM(AJ242:AJ242)</f>
        <v>0</v>
      </c>
      <c r="AT241" s="31">
        <f>SUM(AK242:AK242)</f>
        <v>0</v>
      </c>
    </row>
    <row r="242" spans="1:63" ht="12.75">
      <c r="A242" s="4" t="s">
        <v>128</v>
      </c>
      <c r="B242" s="12" t="s">
        <v>273</v>
      </c>
      <c r="C242" s="53" t="s">
        <v>403</v>
      </c>
      <c r="D242" s="230" t="s">
        <v>683</v>
      </c>
      <c r="E242" s="231"/>
      <c r="F242" s="62" t="s">
        <v>847</v>
      </c>
      <c r="G242" s="104">
        <v>108.47664</v>
      </c>
      <c r="H242" s="104"/>
      <c r="I242" s="16">
        <f>G242*AN242</f>
        <v>0</v>
      </c>
      <c r="J242" s="16">
        <f>G242*AO242</f>
        <v>0</v>
      </c>
      <c r="K242" s="126">
        <f>G242*H242</f>
        <v>0</v>
      </c>
      <c r="L242" s="16">
        <v>0.01</v>
      </c>
      <c r="M242" s="16">
        <f>G242*L242</f>
        <v>1.0847664000000001</v>
      </c>
      <c r="N242" s="5"/>
      <c r="Y242" s="26">
        <f>IF(AP242="5",BI242,0)</f>
        <v>0</v>
      </c>
      <c r="AA242" s="26">
        <f>IF(AP242="1",BG242,0)</f>
        <v>0</v>
      </c>
      <c r="AB242" s="26">
        <f>IF(AP242="1",BH242,0)</f>
        <v>0</v>
      </c>
      <c r="AC242" s="26">
        <f>IF(AP242="7",BG242,0)</f>
        <v>0</v>
      </c>
      <c r="AD242" s="26">
        <f>IF(AP242="7",BH242,0)</f>
        <v>0</v>
      </c>
      <c r="AE242" s="26">
        <f>IF(AP242="2",BG242,0)</f>
        <v>0</v>
      </c>
      <c r="AF242" s="26">
        <f>IF(AP242="2",BH242,0)</f>
        <v>0</v>
      </c>
      <c r="AG242" s="26">
        <f>IF(AP242="0",BI242,0)</f>
        <v>0</v>
      </c>
      <c r="AH242" s="24" t="s">
        <v>273</v>
      </c>
      <c r="AI242" s="16">
        <f>IF(AM242=0,K242,0)</f>
        <v>0</v>
      </c>
      <c r="AJ242" s="16">
        <f>IF(AM242=15,K242,0)</f>
        <v>0</v>
      </c>
      <c r="AK242" s="16">
        <f>IF(AM242=21,K242,0)</f>
        <v>0</v>
      </c>
      <c r="AM242" s="26">
        <v>15</v>
      </c>
      <c r="AN242" s="26">
        <f>H242*0</f>
        <v>0</v>
      </c>
      <c r="AO242" s="26">
        <f>H242*(1-0)</f>
        <v>0</v>
      </c>
      <c r="AP242" s="27" t="s">
        <v>13</v>
      </c>
      <c r="AU242" s="26">
        <f>AV242+AW242</f>
        <v>0</v>
      </c>
      <c r="AV242" s="26">
        <f>G242*AN242</f>
        <v>0</v>
      </c>
      <c r="AW242" s="26">
        <f>G242*AO242</f>
        <v>0</v>
      </c>
      <c r="AX242" s="29" t="s">
        <v>902</v>
      </c>
      <c r="AY242" s="29" t="s">
        <v>928</v>
      </c>
      <c r="AZ242" s="24" t="s">
        <v>937</v>
      </c>
      <c r="BB242" s="26">
        <f>AV242+AW242</f>
        <v>0</v>
      </c>
      <c r="BC242" s="26">
        <f>H242/(100-BD242)*100</f>
        <v>0</v>
      </c>
      <c r="BD242" s="26">
        <v>0</v>
      </c>
      <c r="BE242" s="26">
        <f>M242</f>
        <v>1.0847664000000001</v>
      </c>
      <c r="BG242" s="16">
        <f>G242*AN242</f>
        <v>0</v>
      </c>
      <c r="BH242" s="16">
        <f>G242*AO242</f>
        <v>0</v>
      </c>
      <c r="BI242" s="16">
        <f>G242*H242</f>
        <v>0</v>
      </c>
      <c r="BJ242" s="16" t="s">
        <v>945</v>
      </c>
      <c r="BK242" s="26">
        <v>787</v>
      </c>
    </row>
    <row r="243" spans="1:14" s="58" customFormat="1" ht="12.75">
      <c r="A243" s="57"/>
      <c r="C243" s="59" t="s">
        <v>991</v>
      </c>
      <c r="D243" s="232" t="s">
        <v>1074</v>
      </c>
      <c r="E243" s="233"/>
      <c r="F243" s="233"/>
      <c r="G243" s="233"/>
      <c r="H243" s="233"/>
      <c r="I243" s="233"/>
      <c r="J243" s="233"/>
      <c r="K243" s="233"/>
      <c r="L243" s="233"/>
      <c r="M243" s="233"/>
      <c r="N243" s="57"/>
    </row>
    <row r="244" spans="1:46" ht="12.75">
      <c r="A244" s="3"/>
      <c r="B244" s="11" t="s">
        <v>273</v>
      </c>
      <c r="C244" s="52" t="s">
        <v>99</v>
      </c>
      <c r="D244" s="228" t="s">
        <v>684</v>
      </c>
      <c r="E244" s="229"/>
      <c r="F244" s="61" t="s">
        <v>6</v>
      </c>
      <c r="G244" s="61" t="s">
        <v>6</v>
      </c>
      <c r="H244" s="61" t="s">
        <v>6</v>
      </c>
      <c r="I244" s="31">
        <f>SUM(I245:I245)</f>
        <v>0</v>
      </c>
      <c r="J244" s="31">
        <f>SUM(J245:J245)</f>
        <v>0</v>
      </c>
      <c r="K244" s="128">
        <f>SUM(K245:K245)</f>
        <v>0</v>
      </c>
      <c r="L244" s="24"/>
      <c r="M244" s="31">
        <f>SUM(M245:M245)</f>
        <v>0</v>
      </c>
      <c r="N244" s="5"/>
      <c r="AH244" s="24" t="s">
        <v>273</v>
      </c>
      <c r="AR244" s="31">
        <f>SUM(AI245:AI245)</f>
        <v>0</v>
      </c>
      <c r="AS244" s="31">
        <f>SUM(AJ245:AJ245)</f>
        <v>0</v>
      </c>
      <c r="AT244" s="31">
        <f>SUM(AK245:AK245)</f>
        <v>0</v>
      </c>
    </row>
    <row r="245" spans="1:63" ht="12.75">
      <c r="A245" s="4" t="s">
        <v>129</v>
      </c>
      <c r="B245" s="12" t="s">
        <v>273</v>
      </c>
      <c r="C245" s="53" t="s">
        <v>404</v>
      </c>
      <c r="D245" s="230" t="s">
        <v>685</v>
      </c>
      <c r="E245" s="231"/>
      <c r="F245" s="62" t="s">
        <v>847</v>
      </c>
      <c r="G245" s="104">
        <v>78.1</v>
      </c>
      <c r="H245" s="104"/>
      <c r="I245" s="16">
        <f>G245*AN245</f>
        <v>0</v>
      </c>
      <c r="J245" s="16">
        <f>G245*AO245</f>
        <v>0</v>
      </c>
      <c r="K245" s="126">
        <f>G245*H245</f>
        <v>0</v>
      </c>
      <c r="L245" s="16">
        <v>0</v>
      </c>
      <c r="M245" s="16">
        <f>G245*L245</f>
        <v>0</v>
      </c>
      <c r="N245" s="5"/>
      <c r="Y245" s="26">
        <f>IF(AP245="5",BI245,0)</f>
        <v>0</v>
      </c>
      <c r="AA245" s="26">
        <f>IF(AP245="1",BG245,0)</f>
        <v>0</v>
      </c>
      <c r="AB245" s="26">
        <f>IF(AP245="1",BH245,0)</f>
        <v>0</v>
      </c>
      <c r="AC245" s="26">
        <f>IF(AP245="7",BG245,0)</f>
        <v>0</v>
      </c>
      <c r="AD245" s="26">
        <f>IF(AP245="7",BH245,0)</f>
        <v>0</v>
      </c>
      <c r="AE245" s="26">
        <f>IF(AP245="2",BG245,0)</f>
        <v>0</v>
      </c>
      <c r="AF245" s="26">
        <f>IF(AP245="2",BH245,0)</f>
        <v>0</v>
      </c>
      <c r="AG245" s="26">
        <f>IF(AP245="0",BI245,0)</f>
        <v>0</v>
      </c>
      <c r="AH245" s="24" t="s">
        <v>273</v>
      </c>
      <c r="AI245" s="16">
        <f>IF(AM245=0,K245,0)</f>
        <v>0</v>
      </c>
      <c r="AJ245" s="16">
        <f>IF(AM245=15,K245,0)</f>
        <v>0</v>
      </c>
      <c r="AK245" s="16">
        <f>IF(AM245=21,K245,0)</f>
        <v>0</v>
      </c>
      <c r="AM245" s="26">
        <v>15</v>
      </c>
      <c r="AN245" s="26">
        <f>H245*0.212141979583175</f>
        <v>0</v>
      </c>
      <c r="AO245" s="26">
        <f>H245*(1-0.212141979583175)</f>
        <v>0</v>
      </c>
      <c r="AP245" s="27" t="s">
        <v>7</v>
      </c>
      <c r="AU245" s="26">
        <f>AV245+AW245</f>
        <v>0</v>
      </c>
      <c r="AV245" s="26">
        <f>G245*AN245</f>
        <v>0</v>
      </c>
      <c r="AW245" s="26">
        <f>G245*AO245</f>
        <v>0</v>
      </c>
      <c r="AX245" s="29" t="s">
        <v>903</v>
      </c>
      <c r="AY245" s="29" t="s">
        <v>929</v>
      </c>
      <c r="AZ245" s="24" t="s">
        <v>937</v>
      </c>
      <c r="BB245" s="26">
        <f>AV245+AW245</f>
        <v>0</v>
      </c>
      <c r="BC245" s="26">
        <f>H245/(100-BD245)*100</f>
        <v>0</v>
      </c>
      <c r="BD245" s="26">
        <v>0</v>
      </c>
      <c r="BE245" s="26">
        <f>M245</f>
        <v>0</v>
      </c>
      <c r="BG245" s="16">
        <f>G245*AN245</f>
        <v>0</v>
      </c>
      <c r="BH245" s="16">
        <f>G245*AO245</f>
        <v>0</v>
      </c>
      <c r="BI245" s="16">
        <f>G245*H245</f>
        <v>0</v>
      </c>
      <c r="BJ245" s="16" t="s">
        <v>945</v>
      </c>
      <c r="BK245" s="26">
        <v>93</v>
      </c>
    </row>
    <row r="246" spans="1:14" s="58" customFormat="1" ht="12.75">
      <c r="A246" s="57"/>
      <c r="C246" s="59" t="s">
        <v>991</v>
      </c>
      <c r="D246" s="232" t="s">
        <v>1075</v>
      </c>
      <c r="E246" s="233"/>
      <c r="F246" s="233"/>
      <c r="G246" s="233"/>
      <c r="H246" s="233"/>
      <c r="I246" s="233"/>
      <c r="J246" s="233"/>
      <c r="K246" s="233"/>
      <c r="L246" s="233"/>
      <c r="M246" s="233"/>
      <c r="N246" s="57"/>
    </row>
    <row r="247" spans="1:46" ht="12.75">
      <c r="A247" s="3"/>
      <c r="B247" s="11" t="s">
        <v>273</v>
      </c>
      <c r="C247" s="52" t="s">
        <v>100</v>
      </c>
      <c r="D247" s="228" t="s">
        <v>686</v>
      </c>
      <c r="E247" s="229"/>
      <c r="F247" s="61" t="s">
        <v>6</v>
      </c>
      <c r="G247" s="61" t="s">
        <v>6</v>
      </c>
      <c r="H247" s="61" t="s">
        <v>6</v>
      </c>
      <c r="I247" s="31">
        <f>SUM(I248:I262)</f>
        <v>0</v>
      </c>
      <c r="J247" s="31">
        <f>SUM(J248:J262)</f>
        <v>0</v>
      </c>
      <c r="K247" s="128">
        <f>SUM(K248:K262)</f>
        <v>0</v>
      </c>
      <c r="L247" s="24"/>
      <c r="M247" s="31">
        <f>SUM(M248:M262)</f>
        <v>34.00748200000001</v>
      </c>
      <c r="N247" s="5"/>
      <c r="AH247" s="24" t="s">
        <v>273</v>
      </c>
      <c r="AR247" s="31">
        <f>SUM(AI248:AI262)</f>
        <v>0</v>
      </c>
      <c r="AS247" s="31">
        <f>SUM(AJ248:AJ262)</f>
        <v>0</v>
      </c>
      <c r="AT247" s="31">
        <f>SUM(AK248:AK262)</f>
        <v>0</v>
      </c>
    </row>
    <row r="248" spans="1:63" ht="12.75">
      <c r="A248" s="4" t="s">
        <v>130</v>
      </c>
      <c r="B248" s="12" t="s">
        <v>273</v>
      </c>
      <c r="C248" s="53" t="s">
        <v>405</v>
      </c>
      <c r="D248" s="230" t="s">
        <v>687</v>
      </c>
      <c r="E248" s="231"/>
      <c r="F248" s="62" t="s">
        <v>847</v>
      </c>
      <c r="G248" s="104">
        <v>1825.9</v>
      </c>
      <c r="H248" s="104"/>
      <c r="I248" s="16">
        <f>G248*AN248</f>
        <v>0</v>
      </c>
      <c r="J248" s="16">
        <f>G248*AO248</f>
        <v>0</v>
      </c>
      <c r="K248" s="126">
        <f>G248*H248</f>
        <v>0</v>
      </c>
      <c r="L248" s="16">
        <v>0.01838</v>
      </c>
      <c r="M248" s="16">
        <f>G248*L248</f>
        <v>33.560042</v>
      </c>
      <c r="N248" s="5"/>
      <c r="Y248" s="26">
        <f>IF(AP248="5",BI248,0)</f>
        <v>0</v>
      </c>
      <c r="AA248" s="26">
        <f>IF(AP248="1",BG248,0)</f>
        <v>0</v>
      </c>
      <c r="AB248" s="26">
        <f>IF(AP248="1",BH248,0)</f>
        <v>0</v>
      </c>
      <c r="AC248" s="26">
        <f>IF(AP248="7",BG248,0)</f>
        <v>0</v>
      </c>
      <c r="AD248" s="26">
        <f>IF(AP248="7",BH248,0)</f>
        <v>0</v>
      </c>
      <c r="AE248" s="26">
        <f>IF(AP248="2",BG248,0)</f>
        <v>0</v>
      </c>
      <c r="AF248" s="26">
        <f>IF(AP248="2",BH248,0)</f>
        <v>0</v>
      </c>
      <c r="AG248" s="26">
        <f>IF(AP248="0",BI248,0)</f>
        <v>0</v>
      </c>
      <c r="AH248" s="24" t="s">
        <v>273</v>
      </c>
      <c r="AI248" s="16">
        <f>IF(AM248=0,K248,0)</f>
        <v>0</v>
      </c>
      <c r="AJ248" s="16">
        <f>IF(AM248=15,K248,0)</f>
        <v>0</v>
      </c>
      <c r="AK248" s="16">
        <f>IF(AM248=21,K248,0)</f>
        <v>0</v>
      </c>
      <c r="AM248" s="26">
        <v>15</v>
      </c>
      <c r="AN248" s="26">
        <f>H248*0.000906618291181673</f>
        <v>0</v>
      </c>
      <c r="AO248" s="26">
        <f>H248*(1-0.000906618291181673)</f>
        <v>0</v>
      </c>
      <c r="AP248" s="27" t="s">
        <v>7</v>
      </c>
      <c r="AU248" s="26">
        <f>AV248+AW248</f>
        <v>0</v>
      </c>
      <c r="AV248" s="26">
        <f>G248*AN248</f>
        <v>0</v>
      </c>
      <c r="AW248" s="26">
        <f>G248*AO248</f>
        <v>0</v>
      </c>
      <c r="AX248" s="29" t="s">
        <v>904</v>
      </c>
      <c r="AY248" s="29" t="s">
        <v>929</v>
      </c>
      <c r="AZ248" s="24" t="s">
        <v>937</v>
      </c>
      <c r="BB248" s="26">
        <f>AV248+AW248</f>
        <v>0</v>
      </c>
      <c r="BC248" s="26">
        <f>H248/(100-BD248)*100</f>
        <v>0</v>
      </c>
      <c r="BD248" s="26">
        <v>0</v>
      </c>
      <c r="BE248" s="26">
        <f>M248</f>
        <v>33.560042</v>
      </c>
      <c r="BG248" s="16">
        <f>G248*AN248</f>
        <v>0</v>
      </c>
      <c r="BH248" s="16">
        <f>G248*AO248</f>
        <v>0</v>
      </c>
      <c r="BI248" s="16">
        <f>G248*H248</f>
        <v>0</v>
      </c>
      <c r="BJ248" s="16" t="s">
        <v>945</v>
      </c>
      <c r="BK248" s="26">
        <v>94</v>
      </c>
    </row>
    <row r="249" spans="1:14" s="58" customFormat="1" ht="12.75">
      <c r="A249" s="57"/>
      <c r="C249" s="59" t="s">
        <v>991</v>
      </c>
      <c r="D249" s="232" t="s">
        <v>1076</v>
      </c>
      <c r="E249" s="233"/>
      <c r="F249" s="233"/>
      <c r="G249" s="233"/>
      <c r="H249" s="233"/>
      <c r="I249" s="233"/>
      <c r="J249" s="233"/>
      <c r="K249" s="233"/>
      <c r="L249" s="233"/>
      <c r="M249" s="233"/>
      <c r="N249" s="57"/>
    </row>
    <row r="250" spans="1:63" ht="12.75">
      <c r="A250" s="4" t="s">
        <v>131</v>
      </c>
      <c r="B250" s="12" t="s">
        <v>273</v>
      </c>
      <c r="C250" s="53" t="s">
        <v>406</v>
      </c>
      <c r="D250" s="230" t="s">
        <v>688</v>
      </c>
      <c r="E250" s="231"/>
      <c r="F250" s="62" t="s">
        <v>847</v>
      </c>
      <c r="G250" s="104">
        <v>53651.65</v>
      </c>
      <c r="H250" s="104"/>
      <c r="I250" s="16">
        <f>G250*AN250</f>
        <v>0</v>
      </c>
      <c r="J250" s="16">
        <f>G250*AO250</f>
        <v>0</v>
      </c>
      <c r="K250" s="126">
        <f>G250*H250</f>
        <v>0</v>
      </c>
      <c r="L250" s="16">
        <v>0</v>
      </c>
      <c r="M250" s="16">
        <f>G250*L250</f>
        <v>0</v>
      </c>
      <c r="N250" s="5"/>
      <c r="Y250" s="26">
        <f>IF(AP250="5",BI250,0)</f>
        <v>0</v>
      </c>
      <c r="AA250" s="26">
        <f>IF(AP250="1",BG250,0)</f>
        <v>0</v>
      </c>
      <c r="AB250" s="26">
        <f>IF(AP250="1",BH250,0)</f>
        <v>0</v>
      </c>
      <c r="AC250" s="26">
        <f>IF(AP250="7",BG250,0)</f>
        <v>0</v>
      </c>
      <c r="AD250" s="26">
        <f>IF(AP250="7",BH250,0)</f>
        <v>0</v>
      </c>
      <c r="AE250" s="26">
        <f>IF(AP250="2",BG250,0)</f>
        <v>0</v>
      </c>
      <c r="AF250" s="26">
        <f>IF(AP250="2",BH250,0)</f>
        <v>0</v>
      </c>
      <c r="AG250" s="26">
        <f>IF(AP250="0",BI250,0)</f>
        <v>0</v>
      </c>
      <c r="AH250" s="24" t="s">
        <v>273</v>
      </c>
      <c r="AI250" s="16">
        <f>IF(AM250=0,K250,0)</f>
        <v>0</v>
      </c>
      <c r="AJ250" s="16">
        <f>IF(AM250=15,K250,0)</f>
        <v>0</v>
      </c>
      <c r="AK250" s="16">
        <f>IF(AM250=21,K250,0)</f>
        <v>0</v>
      </c>
      <c r="AM250" s="26">
        <v>15</v>
      </c>
      <c r="AN250" s="26">
        <f>H250*0</f>
        <v>0</v>
      </c>
      <c r="AO250" s="26">
        <f>H250*(1-0)</f>
        <v>0</v>
      </c>
      <c r="AP250" s="27" t="s">
        <v>7</v>
      </c>
      <c r="AU250" s="26">
        <f>AV250+AW250</f>
        <v>0</v>
      </c>
      <c r="AV250" s="26">
        <f>G250*AN250</f>
        <v>0</v>
      </c>
      <c r="AW250" s="26">
        <f>G250*AO250</f>
        <v>0</v>
      </c>
      <c r="AX250" s="29" t="s">
        <v>904</v>
      </c>
      <c r="AY250" s="29" t="s">
        <v>929</v>
      </c>
      <c r="AZ250" s="24" t="s">
        <v>937</v>
      </c>
      <c r="BB250" s="26">
        <f>AV250+AW250</f>
        <v>0</v>
      </c>
      <c r="BC250" s="26">
        <f>H250/(100-BD250)*100</f>
        <v>0</v>
      </c>
      <c r="BD250" s="26">
        <v>0</v>
      </c>
      <c r="BE250" s="26">
        <f>M250</f>
        <v>0</v>
      </c>
      <c r="BG250" s="16">
        <f>G250*AN250</f>
        <v>0</v>
      </c>
      <c r="BH250" s="16">
        <f>G250*AO250</f>
        <v>0</v>
      </c>
      <c r="BI250" s="16">
        <f>G250*H250</f>
        <v>0</v>
      </c>
      <c r="BJ250" s="16" t="s">
        <v>945</v>
      </c>
      <c r="BK250" s="26">
        <v>94</v>
      </c>
    </row>
    <row r="251" spans="1:14" s="58" customFormat="1" ht="12.75">
      <c r="A251" s="57"/>
      <c r="C251" s="59" t="s">
        <v>991</v>
      </c>
      <c r="D251" s="232" t="s">
        <v>1077</v>
      </c>
      <c r="E251" s="233"/>
      <c r="F251" s="233"/>
      <c r="G251" s="233"/>
      <c r="H251" s="233"/>
      <c r="I251" s="233"/>
      <c r="J251" s="233"/>
      <c r="K251" s="233"/>
      <c r="L251" s="233"/>
      <c r="M251" s="233"/>
      <c r="N251" s="57"/>
    </row>
    <row r="252" spans="1:63" ht="12.75">
      <c r="A252" s="4" t="s">
        <v>132</v>
      </c>
      <c r="B252" s="12" t="s">
        <v>273</v>
      </c>
      <c r="C252" s="53" t="s">
        <v>407</v>
      </c>
      <c r="D252" s="230" t="s">
        <v>689</v>
      </c>
      <c r="E252" s="231"/>
      <c r="F252" s="62" t="s">
        <v>847</v>
      </c>
      <c r="G252" s="104">
        <v>1826.45</v>
      </c>
      <c r="H252" s="104"/>
      <c r="I252" s="16">
        <f>G252*AN252</f>
        <v>0</v>
      </c>
      <c r="J252" s="16">
        <f>G252*AO252</f>
        <v>0</v>
      </c>
      <c r="K252" s="126">
        <f aca="true" t="shared" si="74" ref="K252:K262">G252*H252</f>
        <v>0</v>
      </c>
      <c r="L252" s="16">
        <v>0</v>
      </c>
      <c r="M252" s="16">
        <f aca="true" t="shared" si="75" ref="M252:M262">G252*L252</f>
        <v>0</v>
      </c>
      <c r="N252" s="5"/>
      <c r="Y252" s="26">
        <f aca="true" t="shared" si="76" ref="Y252:Y262">IF(AP252="5",BI252,0)</f>
        <v>0</v>
      </c>
      <c r="AA252" s="26">
        <f aca="true" t="shared" si="77" ref="AA252:AA262">IF(AP252="1",BG252,0)</f>
        <v>0</v>
      </c>
      <c r="AB252" s="26">
        <f aca="true" t="shared" si="78" ref="AB252:AB262">IF(AP252="1",BH252,0)</f>
        <v>0</v>
      </c>
      <c r="AC252" s="26">
        <f aca="true" t="shared" si="79" ref="AC252:AC262">IF(AP252="7",BG252,0)</f>
        <v>0</v>
      </c>
      <c r="AD252" s="26">
        <f aca="true" t="shared" si="80" ref="AD252:AD262">IF(AP252="7",BH252,0)</f>
        <v>0</v>
      </c>
      <c r="AE252" s="26">
        <f aca="true" t="shared" si="81" ref="AE252:AE262">IF(AP252="2",BG252,0)</f>
        <v>0</v>
      </c>
      <c r="AF252" s="26">
        <f aca="true" t="shared" si="82" ref="AF252:AF262">IF(AP252="2",BH252,0)</f>
        <v>0</v>
      </c>
      <c r="AG252" s="26">
        <f aca="true" t="shared" si="83" ref="AG252:AG262">IF(AP252="0",BI252,0)</f>
        <v>0</v>
      </c>
      <c r="AH252" s="24" t="s">
        <v>273</v>
      </c>
      <c r="AI252" s="16">
        <f>IF(AM252=0,K252,0)</f>
        <v>0</v>
      </c>
      <c r="AJ252" s="16">
        <f>IF(AM252=15,K252,0)</f>
        <v>0</v>
      </c>
      <c r="AK252" s="16">
        <f>IF(AM252=21,K252,0)</f>
        <v>0</v>
      </c>
      <c r="AM252" s="26">
        <v>15</v>
      </c>
      <c r="AN252" s="26">
        <f>H252*0</f>
        <v>0</v>
      </c>
      <c r="AO252" s="26">
        <f>H252*(1-0)</f>
        <v>0</v>
      </c>
      <c r="AP252" s="27" t="s">
        <v>7</v>
      </c>
      <c r="AU252" s="26">
        <f aca="true" t="shared" si="84" ref="AU252:AU262">AV252+AW252</f>
        <v>0</v>
      </c>
      <c r="AV252" s="26">
        <f>G252*AN252</f>
        <v>0</v>
      </c>
      <c r="AW252" s="26">
        <f>G252*AO252</f>
        <v>0</v>
      </c>
      <c r="AX252" s="29" t="s">
        <v>904</v>
      </c>
      <c r="AY252" s="29" t="s">
        <v>929</v>
      </c>
      <c r="AZ252" s="24" t="s">
        <v>937</v>
      </c>
      <c r="BB252" s="26">
        <f aca="true" t="shared" si="85" ref="BB252:BB262">AV252+AW252</f>
        <v>0</v>
      </c>
      <c r="BC252" s="26">
        <f>H252/(100-BD252)*100</f>
        <v>0</v>
      </c>
      <c r="BD252" s="26">
        <v>0</v>
      </c>
      <c r="BE252" s="26">
        <f aca="true" t="shared" si="86" ref="BE252:BE262">M252</f>
        <v>0</v>
      </c>
      <c r="BG252" s="16">
        <f>G252*AN252</f>
        <v>0</v>
      </c>
      <c r="BH252" s="16">
        <f>G252*AO252</f>
        <v>0</v>
      </c>
      <c r="BI252" s="16">
        <f>G252*H252</f>
        <v>0</v>
      </c>
      <c r="BJ252" s="16" t="s">
        <v>945</v>
      </c>
      <c r="BK252" s="26">
        <v>94</v>
      </c>
    </row>
    <row r="253" spans="1:63" ht="12.75">
      <c r="A253" s="4" t="s">
        <v>133</v>
      </c>
      <c r="B253" s="12" t="s">
        <v>273</v>
      </c>
      <c r="C253" s="53" t="s">
        <v>408</v>
      </c>
      <c r="D253" s="230" t="s">
        <v>690</v>
      </c>
      <c r="E253" s="231"/>
      <c r="F253" s="62" t="s">
        <v>847</v>
      </c>
      <c r="G253" s="104">
        <v>280</v>
      </c>
      <c r="H253" s="104"/>
      <c r="I253" s="16">
        <f>G253*AN253</f>
        <v>0</v>
      </c>
      <c r="J253" s="16">
        <f>G253*AO253</f>
        <v>0</v>
      </c>
      <c r="K253" s="126">
        <f t="shared" si="74"/>
        <v>0</v>
      </c>
      <c r="L253" s="16">
        <v>0</v>
      </c>
      <c r="M253" s="16">
        <f t="shared" si="75"/>
        <v>0</v>
      </c>
      <c r="N253" s="5"/>
      <c r="Y253" s="26">
        <f t="shared" si="76"/>
        <v>0</v>
      </c>
      <c r="AA253" s="26">
        <f t="shared" si="77"/>
        <v>0</v>
      </c>
      <c r="AB253" s="26">
        <f t="shared" si="78"/>
        <v>0</v>
      </c>
      <c r="AC253" s="26">
        <f t="shared" si="79"/>
        <v>0</v>
      </c>
      <c r="AD253" s="26">
        <f t="shared" si="80"/>
        <v>0</v>
      </c>
      <c r="AE253" s="26">
        <f t="shared" si="81"/>
        <v>0</v>
      </c>
      <c r="AF253" s="26">
        <f t="shared" si="82"/>
        <v>0</v>
      </c>
      <c r="AG253" s="26">
        <f t="shared" si="83"/>
        <v>0</v>
      </c>
      <c r="AH253" s="24" t="s">
        <v>273</v>
      </c>
      <c r="AI253" s="16">
        <f>IF(AM253=0,K253,0)</f>
        <v>0</v>
      </c>
      <c r="AJ253" s="16">
        <f>IF(AM253=15,K253,0)</f>
        <v>0</v>
      </c>
      <c r="AK253" s="16">
        <f>IF(AM253=21,K253,0)</f>
        <v>0</v>
      </c>
      <c r="AM253" s="26">
        <v>15</v>
      </c>
      <c r="AN253" s="26">
        <f>H253*0</f>
        <v>0</v>
      </c>
      <c r="AO253" s="26">
        <f>H253*(1-0)</f>
        <v>0</v>
      </c>
      <c r="AP253" s="27" t="s">
        <v>7</v>
      </c>
      <c r="AU253" s="26">
        <f t="shared" si="84"/>
        <v>0</v>
      </c>
      <c r="AV253" s="26">
        <f>G253*AN253</f>
        <v>0</v>
      </c>
      <c r="AW253" s="26">
        <f>G253*AO253</f>
        <v>0</v>
      </c>
      <c r="AX253" s="29" t="s">
        <v>904</v>
      </c>
      <c r="AY253" s="29" t="s">
        <v>929</v>
      </c>
      <c r="AZ253" s="24" t="s">
        <v>937</v>
      </c>
      <c r="BB253" s="26">
        <f t="shared" si="85"/>
        <v>0</v>
      </c>
      <c r="BC253" s="26">
        <f>H253/(100-BD253)*100</f>
        <v>0</v>
      </c>
      <c r="BD253" s="26">
        <v>0</v>
      </c>
      <c r="BE253" s="26">
        <f t="shared" si="86"/>
        <v>0</v>
      </c>
      <c r="BG253" s="16">
        <f>G253*AN253</f>
        <v>0</v>
      </c>
      <c r="BH253" s="16">
        <f>G253*AO253</f>
        <v>0</v>
      </c>
      <c r="BI253" s="16">
        <f>G253*H253</f>
        <v>0</v>
      </c>
      <c r="BJ253" s="16" t="s">
        <v>945</v>
      </c>
      <c r="BK253" s="26">
        <v>94</v>
      </c>
    </row>
    <row r="254" spans="1:63" ht="12.75">
      <c r="A254" s="4" t="s">
        <v>134</v>
      </c>
      <c r="B254" s="12" t="s">
        <v>273</v>
      </c>
      <c r="C254" s="53" t="s">
        <v>409</v>
      </c>
      <c r="D254" s="230" t="s">
        <v>691</v>
      </c>
      <c r="E254" s="231"/>
      <c r="F254" s="62" t="s">
        <v>847</v>
      </c>
      <c r="G254" s="104">
        <v>280</v>
      </c>
      <c r="H254" s="104"/>
      <c r="I254" s="16">
        <f>G254*AN254</f>
        <v>0</v>
      </c>
      <c r="J254" s="16">
        <f>G254*AO254</f>
        <v>0</v>
      </c>
      <c r="K254" s="126">
        <f t="shared" si="74"/>
        <v>0</v>
      </c>
      <c r="L254" s="16">
        <v>5E-05</v>
      </c>
      <c r="M254" s="16">
        <f t="shared" si="75"/>
        <v>0.014</v>
      </c>
      <c r="N254" s="5"/>
      <c r="Y254" s="26">
        <f t="shared" si="76"/>
        <v>0</v>
      </c>
      <c r="AA254" s="26">
        <f t="shared" si="77"/>
        <v>0</v>
      </c>
      <c r="AB254" s="26">
        <f t="shared" si="78"/>
        <v>0</v>
      </c>
      <c r="AC254" s="26">
        <f t="shared" si="79"/>
        <v>0</v>
      </c>
      <c r="AD254" s="26">
        <f t="shared" si="80"/>
        <v>0</v>
      </c>
      <c r="AE254" s="26">
        <f t="shared" si="81"/>
        <v>0</v>
      </c>
      <c r="AF254" s="26">
        <f t="shared" si="82"/>
        <v>0</v>
      </c>
      <c r="AG254" s="26">
        <f t="shared" si="83"/>
        <v>0</v>
      </c>
      <c r="AH254" s="24" t="s">
        <v>273</v>
      </c>
      <c r="AI254" s="16">
        <f>IF(AM254=0,K254,0)</f>
        <v>0</v>
      </c>
      <c r="AJ254" s="16">
        <f>IF(AM254=15,K254,0)</f>
        <v>0</v>
      </c>
      <c r="AK254" s="16">
        <f>IF(AM254=21,K254,0)</f>
        <v>0</v>
      </c>
      <c r="AM254" s="26">
        <v>15</v>
      </c>
      <c r="AN254" s="26">
        <f>H254*1</f>
        <v>0</v>
      </c>
      <c r="AO254" s="26">
        <f>H254*(1-1)</f>
        <v>0</v>
      </c>
      <c r="AP254" s="27" t="s">
        <v>7</v>
      </c>
      <c r="AU254" s="26">
        <f t="shared" si="84"/>
        <v>0</v>
      </c>
      <c r="AV254" s="26">
        <f>G254*AN254</f>
        <v>0</v>
      </c>
      <c r="AW254" s="26">
        <f>G254*AO254</f>
        <v>0</v>
      </c>
      <c r="AX254" s="29" t="s">
        <v>904</v>
      </c>
      <c r="AY254" s="29" t="s">
        <v>929</v>
      </c>
      <c r="AZ254" s="24" t="s">
        <v>937</v>
      </c>
      <c r="BB254" s="26">
        <f t="shared" si="85"/>
        <v>0</v>
      </c>
      <c r="BC254" s="26">
        <f>H254/(100-BD254)*100</f>
        <v>0</v>
      </c>
      <c r="BD254" s="26">
        <v>0</v>
      </c>
      <c r="BE254" s="26">
        <f t="shared" si="86"/>
        <v>0.014</v>
      </c>
      <c r="BG254" s="16">
        <f>G254*AN254</f>
        <v>0</v>
      </c>
      <c r="BH254" s="16">
        <f>G254*AO254</f>
        <v>0</v>
      </c>
      <c r="BI254" s="16">
        <f>G254*H254</f>
        <v>0</v>
      </c>
      <c r="BJ254" s="16" t="s">
        <v>945</v>
      </c>
      <c r="BK254" s="26">
        <v>94</v>
      </c>
    </row>
    <row r="255" spans="1:63" ht="12.75">
      <c r="A255" s="4" t="s">
        <v>135</v>
      </c>
      <c r="B255" s="12" t="s">
        <v>273</v>
      </c>
      <c r="C255" s="53" t="s">
        <v>410</v>
      </c>
      <c r="D255" s="230" t="s">
        <v>692</v>
      </c>
      <c r="E255" s="231"/>
      <c r="F255" s="62" t="s">
        <v>846</v>
      </c>
      <c r="G255" s="104">
        <v>12</v>
      </c>
      <c r="H255" s="104"/>
      <c r="I255" s="16">
        <f>G255*AN255</f>
        <v>0</v>
      </c>
      <c r="J255" s="16">
        <f>G255*AO255</f>
        <v>0</v>
      </c>
      <c r="K255" s="126">
        <f t="shared" si="74"/>
        <v>0</v>
      </c>
      <c r="L255" s="16">
        <v>0.02191</v>
      </c>
      <c r="M255" s="16">
        <f t="shared" si="75"/>
        <v>0.26292</v>
      </c>
      <c r="N255" s="5"/>
      <c r="Y255" s="26">
        <f t="shared" si="76"/>
        <v>0</v>
      </c>
      <c r="AA255" s="26">
        <f t="shared" si="77"/>
        <v>0</v>
      </c>
      <c r="AB255" s="26">
        <f t="shared" si="78"/>
        <v>0</v>
      </c>
      <c r="AC255" s="26">
        <f t="shared" si="79"/>
        <v>0</v>
      </c>
      <c r="AD255" s="26">
        <f t="shared" si="80"/>
        <v>0</v>
      </c>
      <c r="AE255" s="26">
        <f t="shared" si="81"/>
        <v>0</v>
      </c>
      <c r="AF255" s="26">
        <f t="shared" si="82"/>
        <v>0</v>
      </c>
      <c r="AG255" s="26">
        <f t="shared" si="83"/>
        <v>0</v>
      </c>
      <c r="AH255" s="24" t="s">
        <v>273</v>
      </c>
      <c r="AI255" s="16">
        <f>IF(AM255=0,K255,0)</f>
        <v>0</v>
      </c>
      <c r="AJ255" s="16">
        <f>IF(AM255=15,K255,0)</f>
        <v>0</v>
      </c>
      <c r="AK255" s="16">
        <f>IF(AM255=21,K255,0)</f>
        <v>0</v>
      </c>
      <c r="AM255" s="26">
        <v>15</v>
      </c>
      <c r="AN255" s="26">
        <f>H255*0.421731721171793</f>
        <v>0</v>
      </c>
      <c r="AO255" s="26">
        <f>H255*(1-0.421731721171793)</f>
        <v>0</v>
      </c>
      <c r="AP255" s="27" t="s">
        <v>7</v>
      </c>
      <c r="AU255" s="26">
        <f t="shared" si="84"/>
        <v>0</v>
      </c>
      <c r="AV255" s="26">
        <f>G255*AN255</f>
        <v>0</v>
      </c>
      <c r="AW255" s="26">
        <f>G255*AO255</f>
        <v>0</v>
      </c>
      <c r="AX255" s="29" t="s">
        <v>904</v>
      </c>
      <c r="AY255" s="29" t="s">
        <v>929</v>
      </c>
      <c r="AZ255" s="24" t="s">
        <v>937</v>
      </c>
      <c r="BB255" s="26">
        <f t="shared" si="85"/>
        <v>0</v>
      </c>
      <c r="BC255" s="26">
        <f>H255/(100-BD255)*100</f>
        <v>0</v>
      </c>
      <c r="BD255" s="26">
        <v>0</v>
      </c>
      <c r="BE255" s="26">
        <f t="shared" si="86"/>
        <v>0.26292</v>
      </c>
      <c r="BG255" s="16">
        <f>G255*AN255</f>
        <v>0</v>
      </c>
      <c r="BH255" s="16">
        <f>G255*AO255</f>
        <v>0</v>
      </c>
      <c r="BI255" s="16">
        <f>G255*H255</f>
        <v>0</v>
      </c>
      <c r="BJ255" s="16" t="s">
        <v>945</v>
      </c>
      <c r="BK255" s="26">
        <v>94</v>
      </c>
    </row>
    <row r="256" spans="1:63" ht="12.75">
      <c r="A256" s="4" t="s">
        <v>136</v>
      </c>
      <c r="B256" s="12" t="s">
        <v>273</v>
      </c>
      <c r="C256" s="53" t="s">
        <v>411</v>
      </c>
      <c r="D256" s="230" t="s">
        <v>693</v>
      </c>
      <c r="E256" s="231"/>
      <c r="F256" s="62" t="s">
        <v>848</v>
      </c>
      <c r="G256" s="104">
        <v>23.2</v>
      </c>
      <c r="H256" s="104"/>
      <c r="I256" s="16">
        <f>G256*AN256</f>
        <v>0</v>
      </c>
      <c r="J256" s="16">
        <f>G256*AO256</f>
        <v>0</v>
      </c>
      <c r="K256" s="126">
        <f t="shared" si="74"/>
        <v>0</v>
      </c>
      <c r="L256" s="16">
        <v>0.00735</v>
      </c>
      <c r="M256" s="16">
        <f t="shared" si="75"/>
        <v>0.17051999999999998</v>
      </c>
      <c r="N256" s="5"/>
      <c r="Y256" s="26">
        <f t="shared" si="76"/>
        <v>0</v>
      </c>
      <c r="AA256" s="26">
        <f t="shared" si="77"/>
        <v>0</v>
      </c>
      <c r="AB256" s="26">
        <f t="shared" si="78"/>
        <v>0</v>
      </c>
      <c r="AC256" s="26">
        <f t="shared" si="79"/>
        <v>0</v>
      </c>
      <c r="AD256" s="26">
        <f t="shared" si="80"/>
        <v>0</v>
      </c>
      <c r="AE256" s="26">
        <f t="shared" si="81"/>
        <v>0</v>
      </c>
      <c r="AF256" s="26">
        <f t="shared" si="82"/>
        <v>0</v>
      </c>
      <c r="AG256" s="26">
        <f t="shared" si="83"/>
        <v>0</v>
      </c>
      <c r="AH256" s="24" t="s">
        <v>273</v>
      </c>
      <c r="AI256" s="16">
        <f>IF(AM256=0,K256,0)</f>
        <v>0</v>
      </c>
      <c r="AJ256" s="16">
        <f>IF(AM256=15,K256,0)</f>
        <v>0</v>
      </c>
      <c r="AK256" s="16">
        <f>IF(AM256=21,K256,0)</f>
        <v>0</v>
      </c>
      <c r="AM256" s="26">
        <v>15</v>
      </c>
      <c r="AN256" s="26">
        <f>H256*0.000969940214891927</f>
        <v>0</v>
      </c>
      <c r="AO256" s="26">
        <f>H256*(1-0.000969940214891927)</f>
        <v>0</v>
      </c>
      <c r="AP256" s="27" t="s">
        <v>7</v>
      </c>
      <c r="AU256" s="26">
        <f t="shared" si="84"/>
        <v>0</v>
      </c>
      <c r="AV256" s="26">
        <f>G256*AN256</f>
        <v>0</v>
      </c>
      <c r="AW256" s="26">
        <f>G256*AO256</f>
        <v>0</v>
      </c>
      <c r="AX256" s="29" t="s">
        <v>904</v>
      </c>
      <c r="AY256" s="29" t="s">
        <v>929</v>
      </c>
      <c r="AZ256" s="24" t="s">
        <v>937</v>
      </c>
      <c r="BB256" s="26">
        <f t="shared" si="85"/>
        <v>0</v>
      </c>
      <c r="BC256" s="26">
        <f>H256/(100-BD256)*100</f>
        <v>0</v>
      </c>
      <c r="BD256" s="26">
        <v>0</v>
      </c>
      <c r="BE256" s="26">
        <f t="shared" si="86"/>
        <v>0.17051999999999998</v>
      </c>
      <c r="BG256" s="16">
        <f>G256*AN256</f>
        <v>0</v>
      </c>
      <c r="BH256" s="16">
        <f>G256*AO256</f>
        <v>0</v>
      </c>
      <c r="BI256" s="16">
        <f>G256*H256</f>
        <v>0</v>
      </c>
      <c r="BJ256" s="16" t="s">
        <v>945</v>
      </c>
      <c r="BK256" s="26">
        <v>94</v>
      </c>
    </row>
    <row r="257" spans="1:14" s="58" customFormat="1" ht="12.75">
      <c r="A257" s="57"/>
      <c r="C257" s="59" t="s">
        <v>991</v>
      </c>
      <c r="D257" s="232" t="s">
        <v>1078</v>
      </c>
      <c r="E257" s="233"/>
      <c r="F257" s="233"/>
      <c r="G257" s="233"/>
      <c r="H257" s="233"/>
      <c r="I257" s="233"/>
      <c r="J257" s="233"/>
      <c r="K257" s="233"/>
      <c r="L257" s="233"/>
      <c r="M257" s="233"/>
      <c r="N257" s="57"/>
    </row>
    <row r="258" spans="1:63" ht="12.75">
      <c r="A258" s="4" t="s">
        <v>137</v>
      </c>
      <c r="B258" s="12" t="s">
        <v>273</v>
      </c>
      <c r="C258" s="53" t="s">
        <v>412</v>
      </c>
      <c r="D258" s="230" t="s">
        <v>694</v>
      </c>
      <c r="E258" s="231"/>
      <c r="F258" s="62" t="s">
        <v>848</v>
      </c>
      <c r="G258" s="104">
        <v>23.2</v>
      </c>
      <c r="H258" s="104"/>
      <c r="I258" s="16">
        <f>G258*AN258</f>
        <v>0</v>
      </c>
      <c r="J258" s="16">
        <f>G258*AO258</f>
        <v>0</v>
      </c>
      <c r="K258" s="126">
        <f t="shared" si="74"/>
        <v>0</v>
      </c>
      <c r="L258" s="16">
        <v>0</v>
      </c>
      <c r="M258" s="16">
        <f t="shared" si="75"/>
        <v>0</v>
      </c>
      <c r="N258" s="5"/>
      <c r="Y258" s="26">
        <f t="shared" si="76"/>
        <v>0</v>
      </c>
      <c r="AA258" s="26">
        <f t="shared" si="77"/>
        <v>0</v>
      </c>
      <c r="AB258" s="26">
        <f t="shared" si="78"/>
        <v>0</v>
      </c>
      <c r="AC258" s="26">
        <f t="shared" si="79"/>
        <v>0</v>
      </c>
      <c r="AD258" s="26">
        <f t="shared" si="80"/>
        <v>0</v>
      </c>
      <c r="AE258" s="26">
        <f t="shared" si="81"/>
        <v>0</v>
      </c>
      <c r="AF258" s="26">
        <f t="shared" si="82"/>
        <v>0</v>
      </c>
      <c r="AG258" s="26">
        <f t="shared" si="83"/>
        <v>0</v>
      </c>
      <c r="AH258" s="24" t="s">
        <v>273</v>
      </c>
      <c r="AI258" s="16">
        <f>IF(AM258=0,K258,0)</f>
        <v>0</v>
      </c>
      <c r="AJ258" s="16">
        <f>IF(AM258=15,K258,0)</f>
        <v>0</v>
      </c>
      <c r="AK258" s="16">
        <f>IF(AM258=21,K258,0)</f>
        <v>0</v>
      </c>
      <c r="AM258" s="26">
        <v>15</v>
      </c>
      <c r="AN258" s="26">
        <f>H258*0</f>
        <v>0</v>
      </c>
      <c r="AO258" s="26">
        <f>H258*(1-0)</f>
        <v>0</v>
      </c>
      <c r="AP258" s="27" t="s">
        <v>7</v>
      </c>
      <c r="AU258" s="26">
        <f t="shared" si="84"/>
        <v>0</v>
      </c>
      <c r="AV258" s="26">
        <f>G258*AN258</f>
        <v>0</v>
      </c>
      <c r="AW258" s="26">
        <f>G258*AO258</f>
        <v>0</v>
      </c>
      <c r="AX258" s="29" t="s">
        <v>904</v>
      </c>
      <c r="AY258" s="29" t="s">
        <v>929</v>
      </c>
      <c r="AZ258" s="24" t="s">
        <v>937</v>
      </c>
      <c r="BB258" s="26">
        <f t="shared" si="85"/>
        <v>0</v>
      </c>
      <c r="BC258" s="26">
        <f>H258/(100-BD258)*100</f>
        <v>0</v>
      </c>
      <c r="BD258" s="26">
        <v>0</v>
      </c>
      <c r="BE258" s="26">
        <f t="shared" si="86"/>
        <v>0</v>
      </c>
      <c r="BG258" s="16">
        <f>G258*AN258</f>
        <v>0</v>
      </c>
      <c r="BH258" s="16">
        <f>G258*AO258</f>
        <v>0</v>
      </c>
      <c r="BI258" s="16">
        <f>G258*H258</f>
        <v>0</v>
      </c>
      <c r="BJ258" s="16" t="s">
        <v>945</v>
      </c>
      <c r="BK258" s="26">
        <v>94</v>
      </c>
    </row>
    <row r="259" spans="1:63" ht="12.75">
      <c r="A259" s="4" t="s">
        <v>138</v>
      </c>
      <c r="B259" s="12" t="s">
        <v>273</v>
      </c>
      <c r="C259" s="53" t="s">
        <v>413</v>
      </c>
      <c r="D259" s="230" t="s">
        <v>695</v>
      </c>
      <c r="E259" s="231"/>
      <c r="F259" s="62" t="s">
        <v>848</v>
      </c>
      <c r="G259" s="104">
        <v>232</v>
      </c>
      <c r="H259" s="104"/>
      <c r="I259" s="16">
        <f>G259*AN259</f>
        <v>0</v>
      </c>
      <c r="J259" s="16">
        <f>G259*AO259</f>
        <v>0</v>
      </c>
      <c r="K259" s="126">
        <f t="shared" si="74"/>
        <v>0</v>
      </c>
      <c r="L259" s="16">
        <v>0</v>
      </c>
      <c r="M259" s="16">
        <f t="shared" si="75"/>
        <v>0</v>
      </c>
      <c r="N259" s="5"/>
      <c r="Y259" s="26">
        <f t="shared" si="76"/>
        <v>0</v>
      </c>
      <c r="AA259" s="26">
        <f t="shared" si="77"/>
        <v>0</v>
      </c>
      <c r="AB259" s="26">
        <f t="shared" si="78"/>
        <v>0</v>
      </c>
      <c r="AC259" s="26">
        <f t="shared" si="79"/>
        <v>0</v>
      </c>
      <c r="AD259" s="26">
        <f t="shared" si="80"/>
        <v>0</v>
      </c>
      <c r="AE259" s="26">
        <f t="shared" si="81"/>
        <v>0</v>
      </c>
      <c r="AF259" s="26">
        <f t="shared" si="82"/>
        <v>0</v>
      </c>
      <c r="AG259" s="26">
        <f t="shared" si="83"/>
        <v>0</v>
      </c>
      <c r="AH259" s="24" t="s">
        <v>273</v>
      </c>
      <c r="AI259" s="16">
        <f>IF(AM259=0,K259,0)</f>
        <v>0</v>
      </c>
      <c r="AJ259" s="16">
        <f>IF(AM259=15,K259,0)</f>
        <v>0</v>
      </c>
      <c r="AK259" s="16">
        <f>IF(AM259=21,K259,0)</f>
        <v>0</v>
      </c>
      <c r="AM259" s="26">
        <v>15</v>
      </c>
      <c r="AN259" s="26">
        <f>H259*0</f>
        <v>0</v>
      </c>
      <c r="AO259" s="26">
        <f>H259*(1-0)</f>
        <v>0</v>
      </c>
      <c r="AP259" s="27" t="s">
        <v>7</v>
      </c>
      <c r="AU259" s="26">
        <f t="shared" si="84"/>
        <v>0</v>
      </c>
      <c r="AV259" s="26">
        <f>G259*AN259</f>
        <v>0</v>
      </c>
      <c r="AW259" s="26">
        <f>G259*AO259</f>
        <v>0</v>
      </c>
      <c r="AX259" s="29" t="s">
        <v>904</v>
      </c>
      <c r="AY259" s="29" t="s">
        <v>929</v>
      </c>
      <c r="AZ259" s="24" t="s">
        <v>937</v>
      </c>
      <c r="BB259" s="26">
        <f t="shared" si="85"/>
        <v>0</v>
      </c>
      <c r="BC259" s="26">
        <f>H259/(100-BD259)*100</f>
        <v>0</v>
      </c>
      <c r="BD259" s="26">
        <v>0</v>
      </c>
      <c r="BE259" s="26">
        <f t="shared" si="86"/>
        <v>0</v>
      </c>
      <c r="BG259" s="16">
        <f>G259*AN259</f>
        <v>0</v>
      </c>
      <c r="BH259" s="16">
        <f>G259*AO259</f>
        <v>0</v>
      </c>
      <c r="BI259" s="16">
        <f>G259*H259</f>
        <v>0</v>
      </c>
      <c r="BJ259" s="16" t="s">
        <v>945</v>
      </c>
      <c r="BK259" s="26">
        <v>94</v>
      </c>
    </row>
    <row r="260" spans="1:14" s="58" customFormat="1" ht="12.75">
      <c r="A260" s="57"/>
      <c r="C260" s="59" t="s">
        <v>991</v>
      </c>
      <c r="D260" s="232" t="s">
        <v>1079</v>
      </c>
      <c r="E260" s="233"/>
      <c r="F260" s="233"/>
      <c r="G260" s="233"/>
      <c r="H260" s="233"/>
      <c r="I260" s="233"/>
      <c r="J260" s="233"/>
      <c r="K260" s="233"/>
      <c r="L260" s="233"/>
      <c r="M260" s="233"/>
      <c r="N260" s="57"/>
    </row>
    <row r="261" spans="1:63" ht="12.75">
      <c r="A261" s="4" t="s">
        <v>139</v>
      </c>
      <c r="B261" s="12" t="s">
        <v>273</v>
      </c>
      <c r="C261" s="53" t="s">
        <v>414</v>
      </c>
      <c r="D261" s="230" t="s">
        <v>1080</v>
      </c>
      <c r="E261" s="231"/>
      <c r="F261" s="62" t="s">
        <v>848</v>
      </c>
      <c r="G261" s="104">
        <v>23.2</v>
      </c>
      <c r="H261" s="104"/>
      <c r="I261" s="16">
        <f>G261*AN261</f>
        <v>0</v>
      </c>
      <c r="J261" s="16">
        <f>G261*AO261</f>
        <v>0</v>
      </c>
      <c r="K261" s="126">
        <f t="shared" si="74"/>
        <v>0</v>
      </c>
      <c r="L261" s="16">
        <v>0</v>
      </c>
      <c r="M261" s="16">
        <f t="shared" si="75"/>
        <v>0</v>
      </c>
      <c r="N261" s="5"/>
      <c r="Y261" s="26">
        <f t="shared" si="76"/>
        <v>0</v>
      </c>
      <c r="AA261" s="26">
        <f t="shared" si="77"/>
        <v>0</v>
      </c>
      <c r="AB261" s="26">
        <f t="shared" si="78"/>
        <v>0</v>
      </c>
      <c r="AC261" s="26">
        <f t="shared" si="79"/>
        <v>0</v>
      </c>
      <c r="AD261" s="26">
        <f t="shared" si="80"/>
        <v>0</v>
      </c>
      <c r="AE261" s="26">
        <f t="shared" si="81"/>
        <v>0</v>
      </c>
      <c r="AF261" s="26">
        <f t="shared" si="82"/>
        <v>0</v>
      </c>
      <c r="AG261" s="26">
        <f t="shared" si="83"/>
        <v>0</v>
      </c>
      <c r="AH261" s="24" t="s">
        <v>273</v>
      </c>
      <c r="AI261" s="16">
        <f>IF(AM261=0,K261,0)</f>
        <v>0</v>
      </c>
      <c r="AJ261" s="16">
        <f>IF(AM261=15,K261,0)</f>
        <v>0</v>
      </c>
      <c r="AK261" s="16">
        <f>IF(AM261=21,K261,0)</f>
        <v>0</v>
      </c>
      <c r="AM261" s="26">
        <v>15</v>
      </c>
      <c r="AN261" s="26">
        <f>H261*0</f>
        <v>0</v>
      </c>
      <c r="AO261" s="26">
        <f>H261*(1-0)</f>
        <v>0</v>
      </c>
      <c r="AP261" s="27" t="s">
        <v>7</v>
      </c>
      <c r="AU261" s="26">
        <f t="shared" si="84"/>
        <v>0</v>
      </c>
      <c r="AV261" s="26">
        <f>G261*AN261</f>
        <v>0</v>
      </c>
      <c r="AW261" s="26">
        <f>G261*AO261</f>
        <v>0</v>
      </c>
      <c r="AX261" s="29" t="s">
        <v>904</v>
      </c>
      <c r="AY261" s="29" t="s">
        <v>929</v>
      </c>
      <c r="AZ261" s="24" t="s">
        <v>937</v>
      </c>
      <c r="BB261" s="26">
        <f t="shared" si="85"/>
        <v>0</v>
      </c>
      <c r="BC261" s="26">
        <f>H261/(100-BD261)*100</f>
        <v>0</v>
      </c>
      <c r="BD261" s="26">
        <v>0</v>
      </c>
      <c r="BE261" s="26">
        <f t="shared" si="86"/>
        <v>0</v>
      </c>
      <c r="BG261" s="16">
        <f>G261*AN261</f>
        <v>0</v>
      </c>
      <c r="BH261" s="16">
        <f>G261*AO261</f>
        <v>0</v>
      </c>
      <c r="BI261" s="16">
        <f>G261*H261</f>
        <v>0</v>
      </c>
      <c r="BJ261" s="16" t="s">
        <v>945</v>
      </c>
      <c r="BK261" s="26">
        <v>94</v>
      </c>
    </row>
    <row r="262" spans="1:63" ht="12.75">
      <c r="A262" s="4" t="s">
        <v>140</v>
      </c>
      <c r="B262" s="12" t="s">
        <v>273</v>
      </c>
      <c r="C262" s="53" t="s">
        <v>415</v>
      </c>
      <c r="D262" s="230" t="s">
        <v>696</v>
      </c>
      <c r="E262" s="231"/>
      <c r="F262" s="62" t="s">
        <v>847</v>
      </c>
      <c r="G262" s="104">
        <v>280</v>
      </c>
      <c r="H262" s="104"/>
      <c r="I262" s="16">
        <f>G262*AN262</f>
        <v>0</v>
      </c>
      <c r="J262" s="16">
        <f>G262*AO262</f>
        <v>0</v>
      </c>
      <c r="K262" s="126">
        <f t="shared" si="74"/>
        <v>0</v>
      </c>
      <c r="L262" s="16">
        <v>0</v>
      </c>
      <c r="M262" s="16">
        <f t="shared" si="75"/>
        <v>0</v>
      </c>
      <c r="N262" s="5"/>
      <c r="Y262" s="26">
        <f t="shared" si="76"/>
        <v>0</v>
      </c>
      <c r="AA262" s="26">
        <f t="shared" si="77"/>
        <v>0</v>
      </c>
      <c r="AB262" s="26">
        <f t="shared" si="78"/>
        <v>0</v>
      </c>
      <c r="AC262" s="26">
        <f t="shared" si="79"/>
        <v>0</v>
      </c>
      <c r="AD262" s="26">
        <f t="shared" si="80"/>
        <v>0</v>
      </c>
      <c r="AE262" s="26">
        <f t="shared" si="81"/>
        <v>0</v>
      </c>
      <c r="AF262" s="26">
        <f t="shared" si="82"/>
        <v>0</v>
      </c>
      <c r="AG262" s="26">
        <f t="shared" si="83"/>
        <v>0</v>
      </c>
      <c r="AH262" s="24" t="s">
        <v>273</v>
      </c>
      <c r="AI262" s="16">
        <f>IF(AM262=0,K262,0)</f>
        <v>0</v>
      </c>
      <c r="AJ262" s="16">
        <f>IF(AM262=15,K262,0)</f>
        <v>0</v>
      </c>
      <c r="AK262" s="16">
        <f>IF(AM262=21,K262,0)</f>
        <v>0</v>
      </c>
      <c r="AM262" s="26">
        <v>15</v>
      </c>
      <c r="AN262" s="26">
        <f>H262*0</f>
        <v>0</v>
      </c>
      <c r="AO262" s="26">
        <f>H262*(1-0)</f>
        <v>0</v>
      </c>
      <c r="AP262" s="27" t="s">
        <v>7</v>
      </c>
      <c r="AU262" s="26">
        <f t="shared" si="84"/>
        <v>0</v>
      </c>
      <c r="AV262" s="26">
        <f>G262*AN262</f>
        <v>0</v>
      </c>
      <c r="AW262" s="26">
        <f>G262*AO262</f>
        <v>0</v>
      </c>
      <c r="AX262" s="29" t="s">
        <v>904</v>
      </c>
      <c r="AY262" s="29" t="s">
        <v>929</v>
      </c>
      <c r="AZ262" s="24" t="s">
        <v>937</v>
      </c>
      <c r="BB262" s="26">
        <f t="shared" si="85"/>
        <v>0</v>
      </c>
      <c r="BC262" s="26">
        <f>H262/(100-BD262)*100</f>
        <v>0</v>
      </c>
      <c r="BD262" s="26">
        <v>0</v>
      </c>
      <c r="BE262" s="26">
        <f t="shared" si="86"/>
        <v>0</v>
      </c>
      <c r="BG262" s="16">
        <f>G262*AN262</f>
        <v>0</v>
      </c>
      <c r="BH262" s="16">
        <f>G262*AO262</f>
        <v>0</v>
      </c>
      <c r="BI262" s="16">
        <f>G262*H262</f>
        <v>0</v>
      </c>
      <c r="BJ262" s="16" t="s">
        <v>945</v>
      </c>
      <c r="BK262" s="26">
        <v>94</v>
      </c>
    </row>
    <row r="263" spans="1:46" ht="12.75">
      <c r="A263" s="3"/>
      <c r="B263" s="11" t="s">
        <v>273</v>
      </c>
      <c r="C263" s="52" t="s">
        <v>101</v>
      </c>
      <c r="D263" s="228" t="s">
        <v>697</v>
      </c>
      <c r="E263" s="229"/>
      <c r="F263" s="61" t="s">
        <v>6</v>
      </c>
      <c r="G263" s="61" t="s">
        <v>6</v>
      </c>
      <c r="H263" s="61" t="s">
        <v>6</v>
      </c>
      <c r="I263" s="31">
        <f>SUM(I264:I267)</f>
        <v>0</v>
      </c>
      <c r="J263" s="31">
        <f>SUM(J264:J267)</f>
        <v>0</v>
      </c>
      <c r="K263" s="128">
        <f>SUM(K264:K267)</f>
        <v>0</v>
      </c>
      <c r="L263" s="24"/>
      <c r="M263" s="31">
        <f>SUM(M264:M267)</f>
        <v>0.015848</v>
      </c>
      <c r="N263" s="5"/>
      <c r="AH263" s="24" t="s">
        <v>273</v>
      </c>
      <c r="AR263" s="31">
        <f>SUM(AI264:AI267)</f>
        <v>0</v>
      </c>
      <c r="AS263" s="31">
        <f>SUM(AJ264:AJ267)</f>
        <v>0</v>
      </c>
      <c r="AT263" s="31">
        <f>SUM(AK264:AK267)</f>
        <v>0</v>
      </c>
    </row>
    <row r="264" spans="1:63" ht="12.75">
      <c r="A264" s="4" t="s">
        <v>141</v>
      </c>
      <c r="B264" s="12" t="s">
        <v>273</v>
      </c>
      <c r="C264" s="53" t="s">
        <v>416</v>
      </c>
      <c r="D264" s="230" t="s">
        <v>698</v>
      </c>
      <c r="E264" s="231"/>
      <c r="F264" s="62" t="s">
        <v>847</v>
      </c>
      <c r="G264" s="104">
        <v>396.2</v>
      </c>
      <c r="H264" s="104"/>
      <c r="I264" s="16">
        <f>G264*AN264</f>
        <v>0</v>
      </c>
      <c r="J264" s="16">
        <f>G264*AO264</f>
        <v>0</v>
      </c>
      <c r="K264" s="126">
        <f>G264*H264</f>
        <v>0</v>
      </c>
      <c r="L264" s="16">
        <v>4E-05</v>
      </c>
      <c r="M264" s="16">
        <f>G264*L264</f>
        <v>0.015848</v>
      </c>
      <c r="N264" s="5"/>
      <c r="Y264" s="26">
        <f>IF(AP264="5",BI264,0)</f>
        <v>0</v>
      </c>
      <c r="AA264" s="26">
        <f>IF(AP264="1",BG264,0)</f>
        <v>0</v>
      </c>
      <c r="AB264" s="26">
        <f>IF(AP264="1",BH264,0)</f>
        <v>0</v>
      </c>
      <c r="AC264" s="26">
        <f>IF(AP264="7",BG264,0)</f>
        <v>0</v>
      </c>
      <c r="AD264" s="26">
        <f>IF(AP264="7",BH264,0)</f>
        <v>0</v>
      </c>
      <c r="AE264" s="26">
        <f>IF(AP264="2",BG264,0)</f>
        <v>0</v>
      </c>
      <c r="AF264" s="26">
        <f>IF(AP264="2",BH264,0)</f>
        <v>0</v>
      </c>
      <c r="AG264" s="26">
        <f>IF(AP264="0",BI264,0)</f>
        <v>0</v>
      </c>
      <c r="AH264" s="24" t="s">
        <v>273</v>
      </c>
      <c r="AI264" s="16">
        <f>IF(AM264=0,K264,0)</f>
        <v>0</v>
      </c>
      <c r="AJ264" s="16">
        <f>IF(AM264=15,K264,0)</f>
        <v>0</v>
      </c>
      <c r="AK264" s="16">
        <f>IF(AM264=21,K264,0)</f>
        <v>0</v>
      </c>
      <c r="AM264" s="26">
        <v>15</v>
      </c>
      <c r="AN264" s="26">
        <f>H264*0.0189818785697108</f>
        <v>0</v>
      </c>
      <c r="AO264" s="26">
        <f>H264*(1-0.0189818785697108)</f>
        <v>0</v>
      </c>
      <c r="AP264" s="27" t="s">
        <v>7</v>
      </c>
      <c r="AU264" s="26">
        <f>AV264+AW264</f>
        <v>0</v>
      </c>
      <c r="AV264" s="26">
        <f>G264*AN264</f>
        <v>0</v>
      </c>
      <c r="AW264" s="26">
        <f>G264*AO264</f>
        <v>0</v>
      </c>
      <c r="AX264" s="29" t="s">
        <v>905</v>
      </c>
      <c r="AY264" s="29" t="s">
        <v>929</v>
      </c>
      <c r="AZ264" s="24" t="s">
        <v>937</v>
      </c>
      <c r="BB264" s="26">
        <f>AV264+AW264</f>
        <v>0</v>
      </c>
      <c r="BC264" s="26">
        <f>H264/(100-BD264)*100</f>
        <v>0</v>
      </c>
      <c r="BD264" s="26">
        <v>0</v>
      </c>
      <c r="BE264" s="26">
        <f>M264</f>
        <v>0.015848</v>
      </c>
      <c r="BG264" s="16">
        <f>G264*AN264</f>
        <v>0</v>
      </c>
      <c r="BH264" s="16">
        <f>G264*AO264</f>
        <v>0</v>
      </c>
      <c r="BI264" s="16">
        <f>G264*H264</f>
        <v>0</v>
      </c>
      <c r="BJ264" s="16" t="s">
        <v>945</v>
      </c>
      <c r="BK264" s="26">
        <v>95</v>
      </c>
    </row>
    <row r="265" spans="1:14" s="58" customFormat="1" ht="25.5" customHeight="1">
      <c r="A265" s="57"/>
      <c r="C265" s="59" t="s">
        <v>991</v>
      </c>
      <c r="D265" s="232" t="s">
        <v>1081</v>
      </c>
      <c r="E265" s="233"/>
      <c r="F265" s="233"/>
      <c r="G265" s="233"/>
      <c r="H265" s="233"/>
      <c r="I265" s="233"/>
      <c r="J265" s="233"/>
      <c r="K265" s="233"/>
      <c r="L265" s="233"/>
      <c r="M265" s="233"/>
      <c r="N265" s="57"/>
    </row>
    <row r="266" spans="1:63" ht="12.75">
      <c r="A266" s="4" t="s">
        <v>142</v>
      </c>
      <c r="B266" s="12" t="s">
        <v>273</v>
      </c>
      <c r="C266" s="53" t="s">
        <v>417</v>
      </c>
      <c r="D266" s="230" t="s">
        <v>699</v>
      </c>
      <c r="E266" s="231"/>
      <c r="F266" s="62" t="s">
        <v>847</v>
      </c>
      <c r="G266" s="104">
        <v>612.4</v>
      </c>
      <c r="H266" s="104"/>
      <c r="I266" s="16">
        <f>G266*AN266</f>
        <v>0</v>
      </c>
      <c r="J266" s="16">
        <f>G266*AO266</f>
        <v>0</v>
      </c>
      <c r="K266" s="126">
        <f>G266*H266</f>
        <v>0</v>
      </c>
      <c r="L266" s="16">
        <v>0</v>
      </c>
      <c r="M266" s="16">
        <f>G266*L266</f>
        <v>0</v>
      </c>
      <c r="N266" s="5"/>
      <c r="Y266" s="26">
        <f>IF(AP266="5",BI266,0)</f>
        <v>0</v>
      </c>
      <c r="AA266" s="26">
        <f>IF(AP266="1",BG266,0)</f>
        <v>0</v>
      </c>
      <c r="AB266" s="26">
        <f>IF(AP266="1",BH266,0)</f>
        <v>0</v>
      </c>
      <c r="AC266" s="26">
        <f>IF(AP266="7",BG266,0)</f>
        <v>0</v>
      </c>
      <c r="AD266" s="26">
        <f>IF(AP266="7",BH266,0)</f>
        <v>0</v>
      </c>
      <c r="AE266" s="26">
        <f>IF(AP266="2",BG266,0)</f>
        <v>0</v>
      </c>
      <c r="AF266" s="26">
        <f>IF(AP266="2",BH266,0)</f>
        <v>0</v>
      </c>
      <c r="AG266" s="26">
        <f>IF(AP266="0",BI266,0)</f>
        <v>0</v>
      </c>
      <c r="AH266" s="24" t="s">
        <v>273</v>
      </c>
      <c r="AI266" s="16">
        <f>IF(AM266=0,K266,0)</f>
        <v>0</v>
      </c>
      <c r="AJ266" s="16">
        <f>IF(AM266=15,K266,0)</f>
        <v>0</v>
      </c>
      <c r="AK266" s="16">
        <f>IF(AM266=21,K266,0)</f>
        <v>0</v>
      </c>
      <c r="AM266" s="26">
        <v>15</v>
      </c>
      <c r="AN266" s="26">
        <f>H266*0</f>
        <v>0</v>
      </c>
      <c r="AO266" s="26">
        <f>H266*(1-0)</f>
        <v>0</v>
      </c>
      <c r="AP266" s="27" t="s">
        <v>7</v>
      </c>
      <c r="AU266" s="26">
        <f>AV266+AW266</f>
        <v>0</v>
      </c>
      <c r="AV266" s="26">
        <f>G266*AN266</f>
        <v>0</v>
      </c>
      <c r="AW266" s="26">
        <f>G266*AO266</f>
        <v>0</v>
      </c>
      <c r="AX266" s="29" t="s">
        <v>905</v>
      </c>
      <c r="AY266" s="29" t="s">
        <v>929</v>
      </c>
      <c r="AZ266" s="24" t="s">
        <v>937</v>
      </c>
      <c r="BB266" s="26">
        <f>AV266+AW266</f>
        <v>0</v>
      </c>
      <c r="BC266" s="26">
        <f>H266/(100-BD266)*100</f>
        <v>0</v>
      </c>
      <c r="BD266" s="26">
        <v>0</v>
      </c>
      <c r="BE266" s="26">
        <f>M266</f>
        <v>0</v>
      </c>
      <c r="BG266" s="16">
        <f>G266*AN266</f>
        <v>0</v>
      </c>
      <c r="BH266" s="16">
        <f>G266*AO266</f>
        <v>0</v>
      </c>
      <c r="BI266" s="16">
        <f>G266*H266</f>
        <v>0</v>
      </c>
      <c r="BJ266" s="16" t="s">
        <v>945</v>
      </c>
      <c r="BK266" s="26">
        <v>95</v>
      </c>
    </row>
    <row r="267" spans="1:63" ht="12.75">
      <c r="A267" s="4" t="s">
        <v>143</v>
      </c>
      <c r="B267" s="12" t="s">
        <v>273</v>
      </c>
      <c r="C267" s="53" t="s">
        <v>418</v>
      </c>
      <c r="D267" s="230" t="s">
        <v>700</v>
      </c>
      <c r="E267" s="231"/>
      <c r="F267" s="62" t="s">
        <v>847</v>
      </c>
      <c r="G267" s="104">
        <v>356.58</v>
      </c>
      <c r="H267" s="104"/>
      <c r="I267" s="16">
        <f>G267*AN267</f>
        <v>0</v>
      </c>
      <c r="J267" s="16">
        <f>G267*AO267</f>
        <v>0</v>
      </c>
      <c r="K267" s="126">
        <f>G267*H267</f>
        <v>0</v>
      </c>
      <c r="L267" s="16">
        <v>0</v>
      </c>
      <c r="M267" s="16">
        <f>G267*L267</f>
        <v>0</v>
      </c>
      <c r="N267" s="5"/>
      <c r="Y267" s="26">
        <f>IF(AP267="5",BI267,0)</f>
        <v>0</v>
      </c>
      <c r="AA267" s="26">
        <f>IF(AP267="1",BG267,0)</f>
        <v>0</v>
      </c>
      <c r="AB267" s="26">
        <f>IF(AP267="1",BH267,0)</f>
        <v>0</v>
      </c>
      <c r="AC267" s="26">
        <f>IF(AP267="7",BG267,0)</f>
        <v>0</v>
      </c>
      <c r="AD267" s="26">
        <f>IF(AP267="7",BH267,0)</f>
        <v>0</v>
      </c>
      <c r="AE267" s="26">
        <f>IF(AP267="2",BG267,0)</f>
        <v>0</v>
      </c>
      <c r="AF267" s="26">
        <f>IF(AP267="2",BH267,0)</f>
        <v>0</v>
      </c>
      <c r="AG267" s="26">
        <f>IF(AP267="0",BI267,0)</f>
        <v>0</v>
      </c>
      <c r="AH267" s="24" t="s">
        <v>273</v>
      </c>
      <c r="AI267" s="16">
        <f>IF(AM267=0,K267,0)</f>
        <v>0</v>
      </c>
      <c r="AJ267" s="16">
        <f>IF(AM267=15,K267,0)</f>
        <v>0</v>
      </c>
      <c r="AK267" s="16">
        <f>IF(AM267=21,K267,0)</f>
        <v>0</v>
      </c>
      <c r="AM267" s="26">
        <v>15</v>
      </c>
      <c r="AN267" s="26">
        <f>H267*0.00264150943396226</f>
        <v>0</v>
      </c>
      <c r="AO267" s="26">
        <f>H267*(1-0.00264150943396226)</f>
        <v>0</v>
      </c>
      <c r="AP267" s="27" t="s">
        <v>7</v>
      </c>
      <c r="AU267" s="26">
        <f>AV267+AW267</f>
        <v>0</v>
      </c>
      <c r="AV267" s="26">
        <f>G267*AN267</f>
        <v>0</v>
      </c>
      <c r="AW267" s="26">
        <f>G267*AO267</f>
        <v>0</v>
      </c>
      <c r="AX267" s="29" t="s">
        <v>905</v>
      </c>
      <c r="AY267" s="29" t="s">
        <v>929</v>
      </c>
      <c r="AZ267" s="24" t="s">
        <v>937</v>
      </c>
      <c r="BB267" s="26">
        <f>AV267+AW267</f>
        <v>0</v>
      </c>
      <c r="BC267" s="26">
        <f>H267/(100-BD267)*100</f>
        <v>0</v>
      </c>
      <c r="BD267" s="26">
        <v>0</v>
      </c>
      <c r="BE267" s="26">
        <f>M267</f>
        <v>0</v>
      </c>
      <c r="BG267" s="16">
        <f>G267*AN267</f>
        <v>0</v>
      </c>
      <c r="BH267" s="16">
        <f>G267*AO267</f>
        <v>0</v>
      </c>
      <c r="BI267" s="16">
        <f>G267*H267</f>
        <v>0</v>
      </c>
      <c r="BJ267" s="16" t="s">
        <v>945</v>
      </c>
      <c r="BK267" s="26">
        <v>95</v>
      </c>
    </row>
    <row r="268" spans="1:14" s="58" customFormat="1" ht="14.25" customHeight="1">
      <c r="A268" s="57"/>
      <c r="C268" s="59" t="s">
        <v>991</v>
      </c>
      <c r="D268" s="232" t="s">
        <v>1082</v>
      </c>
      <c r="E268" s="233"/>
      <c r="F268" s="233"/>
      <c r="G268" s="233"/>
      <c r="H268" s="233"/>
      <c r="I268" s="233"/>
      <c r="J268" s="233"/>
      <c r="K268" s="233"/>
      <c r="L268" s="233"/>
      <c r="M268" s="233"/>
      <c r="N268" s="57"/>
    </row>
    <row r="269" spans="1:46" ht="12.75">
      <c r="A269" s="3"/>
      <c r="B269" s="11" t="s">
        <v>273</v>
      </c>
      <c r="C269" s="52" t="s">
        <v>102</v>
      </c>
      <c r="D269" s="228" t="s">
        <v>701</v>
      </c>
      <c r="E269" s="229"/>
      <c r="F269" s="61" t="s">
        <v>6</v>
      </c>
      <c r="G269" s="61" t="s">
        <v>6</v>
      </c>
      <c r="H269" s="61" t="s">
        <v>6</v>
      </c>
      <c r="I269" s="31">
        <f>SUM(I270:I296)</f>
        <v>0</v>
      </c>
      <c r="J269" s="31">
        <f>SUM(J270:J296)</f>
        <v>0</v>
      </c>
      <c r="K269" s="128">
        <f>SUM(K270:K296)</f>
        <v>0</v>
      </c>
      <c r="L269" s="24"/>
      <c r="M269" s="31">
        <f>SUM(M270:M296)</f>
        <v>9.053462165000001</v>
      </c>
      <c r="N269" s="5"/>
      <c r="AH269" s="24" t="s">
        <v>273</v>
      </c>
      <c r="AR269" s="31">
        <f>SUM(AI270:AI296)</f>
        <v>0</v>
      </c>
      <c r="AS269" s="31">
        <f>SUM(AJ270:AJ296)</f>
        <v>0</v>
      </c>
      <c r="AT269" s="31">
        <f>SUM(AK270:AK296)</f>
        <v>0</v>
      </c>
    </row>
    <row r="270" spans="1:63" ht="12.75">
      <c r="A270" s="4" t="s">
        <v>144</v>
      </c>
      <c r="B270" s="12" t="s">
        <v>273</v>
      </c>
      <c r="C270" s="53" t="s">
        <v>419</v>
      </c>
      <c r="D270" s="230" t="s">
        <v>702</v>
      </c>
      <c r="E270" s="231"/>
      <c r="F270" s="62" t="s">
        <v>847</v>
      </c>
      <c r="G270" s="104">
        <v>11.565</v>
      </c>
      <c r="H270" s="104"/>
      <c r="I270" s="16">
        <f>G270*AN270</f>
        <v>0</v>
      </c>
      <c r="J270" s="16">
        <f>G270*AO270</f>
        <v>0</v>
      </c>
      <c r="K270" s="126">
        <f>G270*H270</f>
        <v>0</v>
      </c>
      <c r="L270" s="16">
        <v>0.05567</v>
      </c>
      <c r="M270" s="16">
        <f>G270*L270</f>
        <v>0.6438235499999999</v>
      </c>
      <c r="N270" s="5"/>
      <c r="Y270" s="26">
        <f>IF(AP270="5",BI270,0)</f>
        <v>0</v>
      </c>
      <c r="AA270" s="26">
        <f>IF(AP270="1",BG270,0)</f>
        <v>0</v>
      </c>
      <c r="AB270" s="26">
        <f>IF(AP270="1",BH270,0)</f>
        <v>0</v>
      </c>
      <c r="AC270" s="26">
        <f>IF(AP270="7",BG270,0)</f>
        <v>0</v>
      </c>
      <c r="AD270" s="26">
        <f>IF(AP270="7",BH270,0)</f>
        <v>0</v>
      </c>
      <c r="AE270" s="26">
        <f>IF(AP270="2",BG270,0)</f>
        <v>0</v>
      </c>
      <c r="AF270" s="26">
        <f>IF(AP270="2",BH270,0)</f>
        <v>0</v>
      </c>
      <c r="AG270" s="26">
        <f>IF(AP270="0",BI270,0)</f>
        <v>0</v>
      </c>
      <c r="AH270" s="24" t="s">
        <v>273</v>
      </c>
      <c r="AI270" s="16">
        <f>IF(AM270=0,K270,0)</f>
        <v>0</v>
      </c>
      <c r="AJ270" s="16">
        <f>IF(AM270=15,K270,0)</f>
        <v>0</v>
      </c>
      <c r="AK270" s="16">
        <f>IF(AM270=21,K270,0)</f>
        <v>0</v>
      </c>
      <c r="AM270" s="26">
        <v>15</v>
      </c>
      <c r="AN270" s="26">
        <f>H270*0.149830508474576</f>
        <v>0</v>
      </c>
      <c r="AO270" s="26">
        <f>H270*(1-0.149830508474576)</f>
        <v>0</v>
      </c>
      <c r="AP270" s="27" t="s">
        <v>7</v>
      </c>
      <c r="AU270" s="26">
        <f>AV270+AW270</f>
        <v>0</v>
      </c>
      <c r="AV270" s="26">
        <f>G270*AN270</f>
        <v>0</v>
      </c>
      <c r="AW270" s="26">
        <f>G270*AO270</f>
        <v>0</v>
      </c>
      <c r="AX270" s="29" t="s">
        <v>906</v>
      </c>
      <c r="AY270" s="29" t="s">
        <v>929</v>
      </c>
      <c r="AZ270" s="24" t="s">
        <v>937</v>
      </c>
      <c r="BB270" s="26">
        <f>AV270+AW270</f>
        <v>0</v>
      </c>
      <c r="BC270" s="26">
        <f>H270/(100-BD270)*100</f>
        <v>0</v>
      </c>
      <c r="BD270" s="26">
        <v>0</v>
      </c>
      <c r="BE270" s="26">
        <f>M270</f>
        <v>0.6438235499999999</v>
      </c>
      <c r="BG270" s="16">
        <f>G270*AN270</f>
        <v>0</v>
      </c>
      <c r="BH270" s="16">
        <f>G270*AO270</f>
        <v>0</v>
      </c>
      <c r="BI270" s="16">
        <f>G270*H270</f>
        <v>0</v>
      </c>
      <c r="BJ270" s="16" t="s">
        <v>945</v>
      </c>
      <c r="BK270" s="26">
        <v>96</v>
      </c>
    </row>
    <row r="271" spans="1:14" s="58" customFormat="1" ht="12.75">
      <c r="A271" s="57"/>
      <c r="C271" s="59" t="s">
        <v>991</v>
      </c>
      <c r="D271" s="232" t="s">
        <v>1083</v>
      </c>
      <c r="E271" s="233"/>
      <c r="F271" s="233"/>
      <c r="G271" s="233"/>
      <c r="H271" s="233"/>
      <c r="I271" s="233"/>
      <c r="J271" s="233"/>
      <c r="K271" s="233"/>
      <c r="L271" s="233"/>
      <c r="M271" s="233"/>
      <c r="N271" s="57"/>
    </row>
    <row r="272" spans="1:63" ht="12.75">
      <c r="A272" s="4" t="s">
        <v>145</v>
      </c>
      <c r="B272" s="12" t="s">
        <v>273</v>
      </c>
      <c r="C272" s="53" t="s">
        <v>420</v>
      </c>
      <c r="D272" s="230" t="s">
        <v>703</v>
      </c>
      <c r="E272" s="231"/>
      <c r="F272" s="62" t="s">
        <v>847</v>
      </c>
      <c r="G272" s="104">
        <v>6.75</v>
      </c>
      <c r="H272" s="104"/>
      <c r="I272" s="16">
        <f>G272*AN272</f>
        <v>0</v>
      </c>
      <c r="J272" s="16">
        <f>G272*AO272</f>
        <v>0</v>
      </c>
      <c r="K272" s="126">
        <f>G272*H272</f>
        <v>0</v>
      </c>
      <c r="L272" s="16">
        <v>0.063</v>
      </c>
      <c r="M272" s="16">
        <f>G272*L272</f>
        <v>0.42525</v>
      </c>
      <c r="N272" s="5"/>
      <c r="Y272" s="26">
        <f>IF(AP272="5",BI272,0)</f>
        <v>0</v>
      </c>
      <c r="AA272" s="26">
        <f>IF(AP272="1",BG272,0)</f>
        <v>0</v>
      </c>
      <c r="AB272" s="26">
        <f>IF(AP272="1",BH272,0)</f>
        <v>0</v>
      </c>
      <c r="AC272" s="26">
        <f>IF(AP272="7",BG272,0)</f>
        <v>0</v>
      </c>
      <c r="AD272" s="26">
        <f>IF(AP272="7",BH272,0)</f>
        <v>0</v>
      </c>
      <c r="AE272" s="26">
        <f>IF(AP272="2",BG272,0)</f>
        <v>0</v>
      </c>
      <c r="AF272" s="26">
        <f>IF(AP272="2",BH272,0)</f>
        <v>0</v>
      </c>
      <c r="AG272" s="26">
        <f>IF(AP272="0",BI272,0)</f>
        <v>0</v>
      </c>
      <c r="AH272" s="24" t="s">
        <v>273</v>
      </c>
      <c r="AI272" s="16">
        <f>IF(AM272=0,K272,0)</f>
        <v>0</v>
      </c>
      <c r="AJ272" s="16">
        <f>IF(AM272=15,K272,0)</f>
        <v>0</v>
      </c>
      <c r="AK272" s="16">
        <f>IF(AM272=21,K272,0)</f>
        <v>0</v>
      </c>
      <c r="AM272" s="26">
        <v>15</v>
      </c>
      <c r="AN272" s="26">
        <f>H272*0.142086131525596</f>
        <v>0</v>
      </c>
      <c r="AO272" s="26">
        <f>H272*(1-0.142086131525596)</f>
        <v>0</v>
      </c>
      <c r="AP272" s="27" t="s">
        <v>7</v>
      </c>
      <c r="AU272" s="26">
        <f>AV272+AW272</f>
        <v>0</v>
      </c>
      <c r="AV272" s="26">
        <f>G272*AN272</f>
        <v>0</v>
      </c>
      <c r="AW272" s="26">
        <f>G272*AO272</f>
        <v>0</v>
      </c>
      <c r="AX272" s="29" t="s">
        <v>906</v>
      </c>
      <c r="AY272" s="29" t="s">
        <v>929</v>
      </c>
      <c r="AZ272" s="24" t="s">
        <v>937</v>
      </c>
      <c r="BB272" s="26">
        <f>AV272+AW272</f>
        <v>0</v>
      </c>
      <c r="BC272" s="26">
        <f>H272/(100-BD272)*100</f>
        <v>0</v>
      </c>
      <c r="BD272" s="26">
        <v>0</v>
      </c>
      <c r="BE272" s="26">
        <f>M272</f>
        <v>0.42525</v>
      </c>
      <c r="BG272" s="16">
        <f>G272*AN272</f>
        <v>0</v>
      </c>
      <c r="BH272" s="16">
        <f>G272*AO272</f>
        <v>0</v>
      </c>
      <c r="BI272" s="16">
        <f>G272*H272</f>
        <v>0</v>
      </c>
      <c r="BJ272" s="16" t="s">
        <v>945</v>
      </c>
      <c r="BK272" s="26">
        <v>96</v>
      </c>
    </row>
    <row r="273" spans="1:14" s="58" customFormat="1" ht="15" customHeight="1">
      <c r="A273" s="57"/>
      <c r="C273" s="59" t="s">
        <v>991</v>
      </c>
      <c r="D273" s="232" t="s">
        <v>1084</v>
      </c>
      <c r="E273" s="233"/>
      <c r="F273" s="233"/>
      <c r="G273" s="233"/>
      <c r="H273" s="233"/>
      <c r="I273" s="233"/>
      <c r="J273" s="233"/>
      <c r="K273" s="233"/>
      <c r="L273" s="233"/>
      <c r="M273" s="233"/>
      <c r="N273" s="57"/>
    </row>
    <row r="274" spans="1:63" ht="12.75">
      <c r="A274" s="4" t="s">
        <v>146</v>
      </c>
      <c r="B274" s="12" t="s">
        <v>273</v>
      </c>
      <c r="C274" s="53" t="s">
        <v>421</v>
      </c>
      <c r="D274" s="230" t="s">
        <v>704</v>
      </c>
      <c r="E274" s="231"/>
      <c r="F274" s="62" t="s">
        <v>847</v>
      </c>
      <c r="G274" s="104">
        <v>0.36</v>
      </c>
      <c r="H274" s="104"/>
      <c r="I274" s="16">
        <f>G274*AN274</f>
        <v>0</v>
      </c>
      <c r="J274" s="16">
        <f>G274*AO274</f>
        <v>0</v>
      </c>
      <c r="K274" s="126">
        <f>G274*H274</f>
        <v>0</v>
      </c>
      <c r="L274" s="16">
        <v>0.09204</v>
      </c>
      <c r="M274" s="16">
        <f>G274*L274</f>
        <v>0.033134399999999994</v>
      </c>
      <c r="N274" s="5"/>
      <c r="Y274" s="26">
        <f>IF(AP274="5",BI274,0)</f>
        <v>0</v>
      </c>
      <c r="AA274" s="26">
        <f>IF(AP274="1",BG274,0)</f>
        <v>0</v>
      </c>
      <c r="AB274" s="26">
        <f>IF(AP274="1",BH274,0)</f>
        <v>0</v>
      </c>
      <c r="AC274" s="26">
        <f>IF(AP274="7",BG274,0)</f>
        <v>0</v>
      </c>
      <c r="AD274" s="26">
        <f>IF(AP274="7",BH274,0)</f>
        <v>0</v>
      </c>
      <c r="AE274" s="26">
        <f>IF(AP274="2",BG274,0)</f>
        <v>0</v>
      </c>
      <c r="AF274" s="26">
        <f>IF(AP274="2",BH274,0)</f>
        <v>0</v>
      </c>
      <c r="AG274" s="26">
        <f>IF(AP274="0",BI274,0)</f>
        <v>0</v>
      </c>
      <c r="AH274" s="24" t="s">
        <v>273</v>
      </c>
      <c r="AI274" s="16">
        <f>IF(AM274=0,K274,0)</f>
        <v>0</v>
      </c>
      <c r="AJ274" s="16">
        <f>IF(AM274=15,K274,0)</f>
        <v>0</v>
      </c>
      <c r="AK274" s="16">
        <f>IF(AM274=21,K274,0)</f>
        <v>0</v>
      </c>
      <c r="AM274" s="26">
        <v>15</v>
      </c>
      <c r="AN274" s="26">
        <f>H274*0.170280549360254</f>
        <v>0</v>
      </c>
      <c r="AO274" s="26">
        <f>H274*(1-0.170280549360254)</f>
        <v>0</v>
      </c>
      <c r="AP274" s="27" t="s">
        <v>7</v>
      </c>
      <c r="AU274" s="26">
        <f>AV274+AW274</f>
        <v>0</v>
      </c>
      <c r="AV274" s="26">
        <f>G274*AN274</f>
        <v>0</v>
      </c>
      <c r="AW274" s="26">
        <f>G274*AO274</f>
        <v>0</v>
      </c>
      <c r="AX274" s="29" t="s">
        <v>906</v>
      </c>
      <c r="AY274" s="29" t="s">
        <v>929</v>
      </c>
      <c r="AZ274" s="24" t="s">
        <v>937</v>
      </c>
      <c r="BB274" s="26">
        <f>AV274+AW274</f>
        <v>0</v>
      </c>
      <c r="BC274" s="26">
        <f>H274/(100-BD274)*100</f>
        <v>0</v>
      </c>
      <c r="BD274" s="26">
        <v>0</v>
      </c>
      <c r="BE274" s="26">
        <f>M274</f>
        <v>0.033134399999999994</v>
      </c>
      <c r="BG274" s="16">
        <f>G274*AN274</f>
        <v>0</v>
      </c>
      <c r="BH274" s="16">
        <f>G274*AO274</f>
        <v>0</v>
      </c>
      <c r="BI274" s="16">
        <f>G274*H274</f>
        <v>0</v>
      </c>
      <c r="BJ274" s="16" t="s">
        <v>945</v>
      </c>
      <c r="BK274" s="26">
        <v>96</v>
      </c>
    </row>
    <row r="275" spans="1:14" s="58" customFormat="1" ht="12.75">
      <c r="A275" s="57"/>
      <c r="C275" s="59" t="s">
        <v>991</v>
      </c>
      <c r="D275" s="232" t="s">
        <v>1085</v>
      </c>
      <c r="E275" s="233"/>
      <c r="F275" s="233"/>
      <c r="G275" s="233"/>
      <c r="H275" s="233"/>
      <c r="I275" s="233"/>
      <c r="J275" s="233"/>
      <c r="K275" s="233"/>
      <c r="L275" s="233"/>
      <c r="M275" s="233"/>
      <c r="N275" s="57"/>
    </row>
    <row r="276" spans="1:63" ht="12.75">
      <c r="A276" s="4" t="s">
        <v>147</v>
      </c>
      <c r="B276" s="12" t="s">
        <v>273</v>
      </c>
      <c r="C276" s="53" t="s">
        <v>422</v>
      </c>
      <c r="D276" s="230" t="s">
        <v>705</v>
      </c>
      <c r="E276" s="231"/>
      <c r="F276" s="62" t="s">
        <v>847</v>
      </c>
      <c r="G276" s="104">
        <v>53.1548</v>
      </c>
      <c r="H276" s="104"/>
      <c r="I276" s="16">
        <f>G276*AN276</f>
        <v>0</v>
      </c>
      <c r="J276" s="16">
        <f>G276*AO276</f>
        <v>0</v>
      </c>
      <c r="K276" s="126">
        <f>G276*H276</f>
        <v>0</v>
      </c>
      <c r="L276" s="16">
        <v>0.05369</v>
      </c>
      <c r="M276" s="16">
        <f>G276*L276</f>
        <v>2.853881212</v>
      </c>
      <c r="N276" s="5"/>
      <c r="Y276" s="26">
        <f>IF(AP276="5",BI276,0)</f>
        <v>0</v>
      </c>
      <c r="AA276" s="26">
        <f>IF(AP276="1",BG276,0)</f>
        <v>0</v>
      </c>
      <c r="AB276" s="26">
        <f>IF(AP276="1",BH276,0)</f>
        <v>0</v>
      </c>
      <c r="AC276" s="26">
        <f>IF(AP276="7",BG276,0)</f>
        <v>0</v>
      </c>
      <c r="AD276" s="26">
        <f>IF(AP276="7",BH276,0)</f>
        <v>0</v>
      </c>
      <c r="AE276" s="26">
        <f>IF(AP276="2",BG276,0)</f>
        <v>0</v>
      </c>
      <c r="AF276" s="26">
        <f>IF(AP276="2",BH276,0)</f>
        <v>0</v>
      </c>
      <c r="AG276" s="26">
        <f>IF(AP276="0",BI276,0)</f>
        <v>0</v>
      </c>
      <c r="AH276" s="24" t="s">
        <v>273</v>
      </c>
      <c r="AI276" s="16">
        <f>IF(AM276=0,K276,0)</f>
        <v>0</v>
      </c>
      <c r="AJ276" s="16">
        <f>IF(AM276=15,K276,0)</f>
        <v>0</v>
      </c>
      <c r="AK276" s="16">
        <f>IF(AM276=21,K276,0)</f>
        <v>0</v>
      </c>
      <c r="AM276" s="26">
        <v>15</v>
      </c>
      <c r="AN276" s="26">
        <f>H276*0.0964360191442663</f>
        <v>0</v>
      </c>
      <c r="AO276" s="26">
        <f>H276*(1-0.0964360191442663)</f>
        <v>0</v>
      </c>
      <c r="AP276" s="27" t="s">
        <v>7</v>
      </c>
      <c r="AU276" s="26">
        <f>AV276+AW276</f>
        <v>0</v>
      </c>
      <c r="AV276" s="26">
        <f>G276*AN276</f>
        <v>0</v>
      </c>
      <c r="AW276" s="26">
        <f>G276*AO276</f>
        <v>0</v>
      </c>
      <c r="AX276" s="29" t="s">
        <v>906</v>
      </c>
      <c r="AY276" s="29" t="s">
        <v>929</v>
      </c>
      <c r="AZ276" s="24" t="s">
        <v>937</v>
      </c>
      <c r="BB276" s="26">
        <f>AV276+AW276</f>
        <v>0</v>
      </c>
      <c r="BC276" s="26">
        <f>H276/(100-BD276)*100</f>
        <v>0</v>
      </c>
      <c r="BD276" s="26">
        <v>0</v>
      </c>
      <c r="BE276" s="26">
        <f>M276</f>
        <v>2.853881212</v>
      </c>
      <c r="BG276" s="16">
        <f>G276*AN276</f>
        <v>0</v>
      </c>
      <c r="BH276" s="16">
        <f>G276*AO276</f>
        <v>0</v>
      </c>
      <c r="BI276" s="16">
        <f>G276*H276</f>
        <v>0</v>
      </c>
      <c r="BJ276" s="16" t="s">
        <v>945</v>
      </c>
      <c r="BK276" s="26">
        <v>96</v>
      </c>
    </row>
    <row r="277" spans="1:14" s="58" customFormat="1" ht="12.75">
      <c r="A277" s="57"/>
      <c r="C277" s="59" t="s">
        <v>991</v>
      </c>
      <c r="D277" s="232" t="s">
        <v>1086</v>
      </c>
      <c r="E277" s="233"/>
      <c r="F277" s="233"/>
      <c r="G277" s="233"/>
      <c r="H277" s="233"/>
      <c r="I277" s="233"/>
      <c r="J277" s="233"/>
      <c r="K277" s="233"/>
      <c r="L277" s="233"/>
      <c r="M277" s="233"/>
      <c r="N277" s="57"/>
    </row>
    <row r="278" spans="1:63" ht="12.75">
      <c r="A278" s="4" t="s">
        <v>148</v>
      </c>
      <c r="B278" s="12" t="s">
        <v>273</v>
      </c>
      <c r="C278" s="53" t="s">
        <v>423</v>
      </c>
      <c r="D278" s="230" t="s">
        <v>706</v>
      </c>
      <c r="E278" s="231"/>
      <c r="F278" s="62" t="s">
        <v>847</v>
      </c>
      <c r="G278" s="104">
        <v>8.0924</v>
      </c>
      <c r="H278" s="104"/>
      <c r="I278" s="16">
        <f>G278*AN278</f>
        <v>0</v>
      </c>
      <c r="J278" s="16">
        <f>G278*AO278</f>
        <v>0</v>
      </c>
      <c r="K278" s="126">
        <f>G278*H278</f>
        <v>0</v>
      </c>
      <c r="L278" s="16">
        <v>0.07717</v>
      </c>
      <c r="M278" s="16">
        <f>G278*L278</f>
        <v>0.6244905079999999</v>
      </c>
      <c r="N278" s="5"/>
      <c r="Y278" s="26">
        <f>IF(AP278="5",BI278,0)</f>
        <v>0</v>
      </c>
      <c r="AA278" s="26">
        <f>IF(AP278="1",BG278,0)</f>
        <v>0</v>
      </c>
      <c r="AB278" s="26">
        <f>IF(AP278="1",BH278,0)</f>
        <v>0</v>
      </c>
      <c r="AC278" s="26">
        <f>IF(AP278="7",BG278,0)</f>
        <v>0</v>
      </c>
      <c r="AD278" s="26">
        <f>IF(AP278="7",BH278,0)</f>
        <v>0</v>
      </c>
      <c r="AE278" s="26">
        <f>IF(AP278="2",BG278,0)</f>
        <v>0</v>
      </c>
      <c r="AF278" s="26">
        <f>IF(AP278="2",BH278,0)</f>
        <v>0</v>
      </c>
      <c r="AG278" s="26">
        <f>IF(AP278="0",BI278,0)</f>
        <v>0</v>
      </c>
      <c r="AH278" s="24" t="s">
        <v>273</v>
      </c>
      <c r="AI278" s="16">
        <f>IF(AM278=0,K278,0)</f>
        <v>0</v>
      </c>
      <c r="AJ278" s="16">
        <f>IF(AM278=15,K278,0)</f>
        <v>0</v>
      </c>
      <c r="AK278" s="16">
        <f>IF(AM278=21,K278,0)</f>
        <v>0</v>
      </c>
      <c r="AM278" s="26">
        <v>15</v>
      </c>
      <c r="AN278" s="26">
        <f>H278*0.112278578537034</f>
        <v>0</v>
      </c>
      <c r="AO278" s="26">
        <f>H278*(1-0.112278578537034)</f>
        <v>0</v>
      </c>
      <c r="AP278" s="27" t="s">
        <v>7</v>
      </c>
      <c r="AU278" s="26">
        <f>AV278+AW278</f>
        <v>0</v>
      </c>
      <c r="AV278" s="26">
        <f>G278*AN278</f>
        <v>0</v>
      </c>
      <c r="AW278" s="26">
        <f>G278*AO278</f>
        <v>0</v>
      </c>
      <c r="AX278" s="29" t="s">
        <v>906</v>
      </c>
      <c r="AY278" s="29" t="s">
        <v>929</v>
      </c>
      <c r="AZ278" s="24" t="s">
        <v>937</v>
      </c>
      <c r="BB278" s="26">
        <f>AV278+AW278</f>
        <v>0</v>
      </c>
      <c r="BC278" s="26">
        <f>H278/(100-BD278)*100</f>
        <v>0</v>
      </c>
      <c r="BD278" s="26">
        <v>0</v>
      </c>
      <c r="BE278" s="26">
        <f>M278</f>
        <v>0.6244905079999999</v>
      </c>
      <c r="BG278" s="16">
        <f>G278*AN278</f>
        <v>0</v>
      </c>
      <c r="BH278" s="16">
        <f>G278*AO278</f>
        <v>0</v>
      </c>
      <c r="BI278" s="16">
        <f>G278*H278</f>
        <v>0</v>
      </c>
      <c r="BJ278" s="16" t="s">
        <v>945</v>
      </c>
      <c r="BK278" s="26">
        <v>96</v>
      </c>
    </row>
    <row r="279" spans="1:14" s="58" customFormat="1" ht="12.75">
      <c r="A279" s="57"/>
      <c r="C279" s="59" t="s">
        <v>991</v>
      </c>
      <c r="D279" s="232" t="s">
        <v>1087</v>
      </c>
      <c r="E279" s="233"/>
      <c r="F279" s="233"/>
      <c r="G279" s="233"/>
      <c r="H279" s="233"/>
      <c r="I279" s="233"/>
      <c r="J279" s="233"/>
      <c r="K279" s="233"/>
      <c r="L279" s="233"/>
      <c r="M279" s="233"/>
      <c r="N279" s="57"/>
    </row>
    <row r="280" spans="1:63" ht="12.75">
      <c r="A280" s="4" t="s">
        <v>149</v>
      </c>
      <c r="B280" s="12" t="s">
        <v>273</v>
      </c>
      <c r="C280" s="53" t="s">
        <v>424</v>
      </c>
      <c r="D280" s="230" t="s">
        <v>707</v>
      </c>
      <c r="E280" s="231"/>
      <c r="F280" s="62" t="s">
        <v>847</v>
      </c>
      <c r="G280" s="104">
        <v>12.2752</v>
      </c>
      <c r="H280" s="104"/>
      <c r="I280" s="16">
        <f>G280*AN280</f>
        <v>0</v>
      </c>
      <c r="J280" s="16">
        <f>G280*AO280</f>
        <v>0</v>
      </c>
      <c r="K280" s="126">
        <f>G280*H280</f>
        <v>0</v>
      </c>
      <c r="L280" s="16">
        <v>0.064</v>
      </c>
      <c r="M280" s="16">
        <f>G280*L280</f>
        <v>0.7856128</v>
      </c>
      <c r="N280" s="5"/>
      <c r="Y280" s="26">
        <f>IF(AP280="5",BI280,0)</f>
        <v>0</v>
      </c>
      <c r="AA280" s="26">
        <f>IF(AP280="1",BG280,0)</f>
        <v>0</v>
      </c>
      <c r="AB280" s="26">
        <f>IF(AP280="1",BH280,0)</f>
        <v>0</v>
      </c>
      <c r="AC280" s="26">
        <f>IF(AP280="7",BG280,0)</f>
        <v>0</v>
      </c>
      <c r="AD280" s="26">
        <f>IF(AP280="7",BH280,0)</f>
        <v>0</v>
      </c>
      <c r="AE280" s="26">
        <f>IF(AP280="2",BG280,0)</f>
        <v>0</v>
      </c>
      <c r="AF280" s="26">
        <f>IF(AP280="2",BH280,0)</f>
        <v>0</v>
      </c>
      <c r="AG280" s="26">
        <f>IF(AP280="0",BI280,0)</f>
        <v>0</v>
      </c>
      <c r="AH280" s="24" t="s">
        <v>273</v>
      </c>
      <c r="AI280" s="16">
        <f>IF(AM280=0,K280,0)</f>
        <v>0</v>
      </c>
      <c r="AJ280" s="16">
        <f>IF(AM280=15,K280,0)</f>
        <v>0</v>
      </c>
      <c r="AK280" s="16">
        <f>IF(AM280=21,K280,0)</f>
        <v>0</v>
      </c>
      <c r="AM280" s="26">
        <v>15</v>
      </c>
      <c r="AN280" s="26">
        <f>H280*0.123806544836379</f>
        <v>0</v>
      </c>
      <c r="AO280" s="26">
        <f>H280*(1-0.123806544836379)</f>
        <v>0</v>
      </c>
      <c r="AP280" s="27" t="s">
        <v>7</v>
      </c>
      <c r="AU280" s="26">
        <f>AV280+AW280</f>
        <v>0</v>
      </c>
      <c r="AV280" s="26">
        <f>G280*AN280</f>
        <v>0</v>
      </c>
      <c r="AW280" s="26">
        <f>G280*AO280</f>
        <v>0</v>
      </c>
      <c r="AX280" s="29" t="s">
        <v>906</v>
      </c>
      <c r="AY280" s="29" t="s">
        <v>929</v>
      </c>
      <c r="AZ280" s="24" t="s">
        <v>937</v>
      </c>
      <c r="BB280" s="26">
        <f>AV280+AW280</f>
        <v>0</v>
      </c>
      <c r="BC280" s="26">
        <f>H280/(100-BD280)*100</f>
        <v>0</v>
      </c>
      <c r="BD280" s="26">
        <v>0</v>
      </c>
      <c r="BE280" s="26">
        <f>M280</f>
        <v>0.7856128</v>
      </c>
      <c r="BG280" s="16">
        <f>G280*AN280</f>
        <v>0</v>
      </c>
      <c r="BH280" s="16">
        <f>G280*AO280</f>
        <v>0</v>
      </c>
      <c r="BI280" s="16">
        <f>G280*H280</f>
        <v>0</v>
      </c>
      <c r="BJ280" s="16" t="s">
        <v>945</v>
      </c>
      <c r="BK280" s="26">
        <v>96</v>
      </c>
    </row>
    <row r="281" spans="1:14" s="58" customFormat="1" ht="12.75">
      <c r="A281" s="57"/>
      <c r="C281" s="59" t="s">
        <v>991</v>
      </c>
      <c r="D281" s="232" t="s">
        <v>1087</v>
      </c>
      <c r="E281" s="233"/>
      <c r="F281" s="233"/>
      <c r="G281" s="233"/>
      <c r="H281" s="233"/>
      <c r="I281" s="233"/>
      <c r="J281" s="233"/>
      <c r="K281" s="233"/>
      <c r="L281" s="233"/>
      <c r="M281" s="233"/>
      <c r="N281" s="57"/>
    </row>
    <row r="282" spans="1:63" ht="12.75">
      <c r="A282" s="4" t="s">
        <v>150</v>
      </c>
      <c r="B282" s="12" t="s">
        <v>273</v>
      </c>
      <c r="C282" s="53" t="s">
        <v>425</v>
      </c>
      <c r="D282" s="230" t="s">
        <v>708</v>
      </c>
      <c r="E282" s="231"/>
      <c r="F282" s="62" t="s">
        <v>847</v>
      </c>
      <c r="G282" s="104">
        <v>13.6629</v>
      </c>
      <c r="H282" s="104"/>
      <c r="I282" s="16">
        <f>G282*AN282</f>
        <v>0</v>
      </c>
      <c r="J282" s="16">
        <f>G282*AO282</f>
        <v>0</v>
      </c>
      <c r="K282" s="126">
        <f>G282*H282</f>
        <v>0</v>
      </c>
      <c r="L282" s="16">
        <v>0.05283</v>
      </c>
      <c r="M282" s="16">
        <f>G282*L282</f>
        <v>0.721811007</v>
      </c>
      <c r="N282" s="5"/>
      <c r="Y282" s="26">
        <f>IF(AP282="5",BI282,0)</f>
        <v>0</v>
      </c>
      <c r="AA282" s="26">
        <f>IF(AP282="1",BG282,0)</f>
        <v>0</v>
      </c>
      <c r="AB282" s="26">
        <f>IF(AP282="1",BH282,0)</f>
        <v>0</v>
      </c>
      <c r="AC282" s="26">
        <f>IF(AP282="7",BG282,0)</f>
        <v>0</v>
      </c>
      <c r="AD282" s="26">
        <f>IF(AP282="7",BH282,0)</f>
        <v>0</v>
      </c>
      <c r="AE282" s="26">
        <f>IF(AP282="2",BG282,0)</f>
        <v>0</v>
      </c>
      <c r="AF282" s="26">
        <f>IF(AP282="2",BH282,0)</f>
        <v>0</v>
      </c>
      <c r="AG282" s="26">
        <f>IF(AP282="0",BI282,0)</f>
        <v>0</v>
      </c>
      <c r="AH282" s="24" t="s">
        <v>273</v>
      </c>
      <c r="AI282" s="16">
        <f>IF(AM282=0,K282,0)</f>
        <v>0</v>
      </c>
      <c r="AJ282" s="16">
        <f>IF(AM282=15,K282,0)</f>
        <v>0</v>
      </c>
      <c r="AK282" s="16">
        <f>IF(AM282=21,K282,0)</f>
        <v>0</v>
      </c>
      <c r="AM282" s="26">
        <v>15</v>
      </c>
      <c r="AN282" s="26">
        <f>H282*0.2437841023766</f>
        <v>0</v>
      </c>
      <c r="AO282" s="26">
        <f>H282*(1-0.2437841023766)</f>
        <v>0</v>
      </c>
      <c r="AP282" s="27" t="s">
        <v>7</v>
      </c>
      <c r="AU282" s="26">
        <f>AV282+AW282</f>
        <v>0</v>
      </c>
      <c r="AV282" s="26">
        <f>G282*AN282</f>
        <v>0</v>
      </c>
      <c r="AW282" s="26">
        <f>G282*AO282</f>
        <v>0</v>
      </c>
      <c r="AX282" s="29" t="s">
        <v>906</v>
      </c>
      <c r="AY282" s="29" t="s">
        <v>929</v>
      </c>
      <c r="AZ282" s="24" t="s">
        <v>937</v>
      </c>
      <c r="BB282" s="26">
        <f>AV282+AW282</f>
        <v>0</v>
      </c>
      <c r="BC282" s="26">
        <f>H282/(100-BD282)*100</f>
        <v>0</v>
      </c>
      <c r="BD282" s="26">
        <v>0</v>
      </c>
      <c r="BE282" s="26">
        <f>M282</f>
        <v>0.721811007</v>
      </c>
      <c r="BG282" s="16">
        <f>G282*AN282</f>
        <v>0</v>
      </c>
      <c r="BH282" s="16">
        <f>G282*AO282</f>
        <v>0</v>
      </c>
      <c r="BI282" s="16">
        <f>G282*H282</f>
        <v>0</v>
      </c>
      <c r="BJ282" s="16" t="s">
        <v>945</v>
      </c>
      <c r="BK282" s="26">
        <v>96</v>
      </c>
    </row>
    <row r="283" spans="1:14" s="58" customFormat="1" ht="12.75">
      <c r="A283" s="57"/>
      <c r="C283" s="59" t="s">
        <v>991</v>
      </c>
      <c r="D283" s="232" t="s">
        <v>1088</v>
      </c>
      <c r="E283" s="233"/>
      <c r="F283" s="233"/>
      <c r="G283" s="233"/>
      <c r="H283" s="233"/>
      <c r="I283" s="233"/>
      <c r="J283" s="233"/>
      <c r="K283" s="233"/>
      <c r="L283" s="233"/>
      <c r="M283" s="233"/>
      <c r="N283" s="57"/>
    </row>
    <row r="284" spans="1:63" ht="12.75">
      <c r="A284" s="4" t="s">
        <v>151</v>
      </c>
      <c r="B284" s="12" t="s">
        <v>273</v>
      </c>
      <c r="C284" s="53" t="s">
        <v>426</v>
      </c>
      <c r="D284" s="230" t="s">
        <v>709</v>
      </c>
      <c r="E284" s="231"/>
      <c r="F284" s="62" t="s">
        <v>847</v>
      </c>
      <c r="G284" s="104">
        <v>42.4498</v>
      </c>
      <c r="H284" s="104"/>
      <c r="I284" s="16">
        <f>G284*AN284</f>
        <v>0</v>
      </c>
      <c r="J284" s="16">
        <f>G284*AO284</f>
        <v>0</v>
      </c>
      <c r="K284" s="126">
        <f>G284*H284</f>
        <v>0</v>
      </c>
      <c r="L284" s="16">
        <v>0.06656</v>
      </c>
      <c r="M284" s="16">
        <f>G284*L284</f>
        <v>2.825458688</v>
      </c>
      <c r="N284" s="5"/>
      <c r="Y284" s="26">
        <f>IF(AP284="5",BI284,0)</f>
        <v>0</v>
      </c>
      <c r="AA284" s="26">
        <f>IF(AP284="1",BG284,0)</f>
        <v>0</v>
      </c>
      <c r="AB284" s="26">
        <f>IF(AP284="1",BH284,0)</f>
        <v>0</v>
      </c>
      <c r="AC284" s="26">
        <f>IF(AP284="7",BG284,0)</f>
        <v>0</v>
      </c>
      <c r="AD284" s="26">
        <f>IF(AP284="7",BH284,0)</f>
        <v>0</v>
      </c>
      <c r="AE284" s="26">
        <f>IF(AP284="2",BG284,0)</f>
        <v>0</v>
      </c>
      <c r="AF284" s="26">
        <f>IF(AP284="2",BH284,0)</f>
        <v>0</v>
      </c>
      <c r="AG284" s="26">
        <f>IF(AP284="0",BI284,0)</f>
        <v>0</v>
      </c>
      <c r="AH284" s="24" t="s">
        <v>273</v>
      </c>
      <c r="AI284" s="16">
        <f>IF(AM284=0,K284,0)</f>
        <v>0</v>
      </c>
      <c r="AJ284" s="16">
        <f>IF(AM284=15,K284,0)</f>
        <v>0</v>
      </c>
      <c r="AK284" s="16">
        <f>IF(AM284=21,K284,0)</f>
        <v>0</v>
      </c>
      <c r="AM284" s="26">
        <v>15</v>
      </c>
      <c r="AN284" s="26">
        <f>H284*0.140079346605502</f>
        <v>0</v>
      </c>
      <c r="AO284" s="26">
        <f>H284*(1-0.140079346605502)</f>
        <v>0</v>
      </c>
      <c r="AP284" s="27" t="s">
        <v>7</v>
      </c>
      <c r="AU284" s="26">
        <f>AV284+AW284</f>
        <v>0</v>
      </c>
      <c r="AV284" s="26">
        <f>G284*AN284</f>
        <v>0</v>
      </c>
      <c r="AW284" s="26">
        <f>G284*AO284</f>
        <v>0</v>
      </c>
      <c r="AX284" s="29" t="s">
        <v>906</v>
      </c>
      <c r="AY284" s="29" t="s">
        <v>929</v>
      </c>
      <c r="AZ284" s="24" t="s">
        <v>937</v>
      </c>
      <c r="BB284" s="26">
        <f>AV284+AW284</f>
        <v>0</v>
      </c>
      <c r="BC284" s="26">
        <f>H284/(100-BD284)*100</f>
        <v>0</v>
      </c>
      <c r="BD284" s="26">
        <v>0</v>
      </c>
      <c r="BE284" s="26">
        <f>M284</f>
        <v>2.825458688</v>
      </c>
      <c r="BG284" s="16">
        <f>G284*AN284</f>
        <v>0</v>
      </c>
      <c r="BH284" s="16">
        <f>G284*AO284</f>
        <v>0</v>
      </c>
      <c r="BI284" s="16">
        <f>G284*H284</f>
        <v>0</v>
      </c>
      <c r="BJ284" s="16" t="s">
        <v>945</v>
      </c>
      <c r="BK284" s="26">
        <v>96</v>
      </c>
    </row>
    <row r="285" spans="1:14" s="58" customFormat="1" ht="12.75">
      <c r="A285" s="57"/>
      <c r="C285" s="59" t="s">
        <v>991</v>
      </c>
      <c r="D285" s="232" t="s">
        <v>1088</v>
      </c>
      <c r="E285" s="233"/>
      <c r="F285" s="233"/>
      <c r="G285" s="233"/>
      <c r="H285" s="233"/>
      <c r="I285" s="233"/>
      <c r="J285" s="233"/>
      <c r="K285" s="233"/>
      <c r="L285" s="233"/>
      <c r="M285" s="233"/>
      <c r="N285" s="57"/>
    </row>
    <row r="286" spans="1:63" ht="12.75">
      <c r="A286" s="4" t="s">
        <v>152</v>
      </c>
      <c r="B286" s="12" t="s">
        <v>273</v>
      </c>
      <c r="C286" s="53" t="s">
        <v>427</v>
      </c>
      <c r="D286" s="230" t="s">
        <v>710</v>
      </c>
      <c r="E286" s="231"/>
      <c r="F286" s="62" t="s">
        <v>850</v>
      </c>
      <c r="G286" s="104">
        <v>3</v>
      </c>
      <c r="H286" s="104"/>
      <c r="I286" s="16">
        <f aca="true" t="shared" si="87" ref="I286:I292">G286*AN286</f>
        <v>0</v>
      </c>
      <c r="J286" s="16">
        <f aca="true" t="shared" si="88" ref="J286:J292">G286*AO286</f>
        <v>0</v>
      </c>
      <c r="K286" s="126">
        <f aca="true" t="shared" si="89" ref="K286:K292">G286*H286</f>
        <v>0</v>
      </c>
      <c r="L286" s="16">
        <v>0</v>
      </c>
      <c r="M286" s="16">
        <f aca="true" t="shared" si="90" ref="M286:M292">G286*L286</f>
        <v>0</v>
      </c>
      <c r="N286" s="5"/>
      <c r="Y286" s="26">
        <f aca="true" t="shared" si="91" ref="Y286:Y292">IF(AP286="5",BI286,0)</f>
        <v>0</v>
      </c>
      <c r="AA286" s="26">
        <f aca="true" t="shared" si="92" ref="AA286:AA292">IF(AP286="1",BG286,0)</f>
        <v>0</v>
      </c>
      <c r="AB286" s="26">
        <f aca="true" t="shared" si="93" ref="AB286:AB292">IF(AP286="1",BH286,0)</f>
        <v>0</v>
      </c>
      <c r="AC286" s="26">
        <f aca="true" t="shared" si="94" ref="AC286:AC292">IF(AP286="7",BG286,0)</f>
        <v>0</v>
      </c>
      <c r="AD286" s="26">
        <f aca="true" t="shared" si="95" ref="AD286:AD292">IF(AP286="7",BH286,0)</f>
        <v>0</v>
      </c>
      <c r="AE286" s="26">
        <f aca="true" t="shared" si="96" ref="AE286:AE292">IF(AP286="2",BG286,0)</f>
        <v>0</v>
      </c>
      <c r="AF286" s="26">
        <f aca="true" t="shared" si="97" ref="AF286:AF292">IF(AP286="2",BH286,0)</f>
        <v>0</v>
      </c>
      <c r="AG286" s="26">
        <f aca="true" t="shared" si="98" ref="AG286:AG292">IF(AP286="0",BI286,0)</f>
        <v>0</v>
      </c>
      <c r="AH286" s="24" t="s">
        <v>273</v>
      </c>
      <c r="AI286" s="16">
        <f aca="true" t="shared" si="99" ref="AI286:AI292">IF(AM286=0,K286,0)</f>
        <v>0</v>
      </c>
      <c r="AJ286" s="16">
        <f aca="true" t="shared" si="100" ref="AJ286:AJ292">IF(AM286=15,K286,0)</f>
        <v>0</v>
      </c>
      <c r="AK286" s="16">
        <f aca="true" t="shared" si="101" ref="AK286:AK292">IF(AM286=21,K286,0)</f>
        <v>0</v>
      </c>
      <c r="AM286" s="26">
        <v>15</v>
      </c>
      <c r="AN286" s="26">
        <f aca="true" t="shared" si="102" ref="AN286:AN292">H286*0</f>
        <v>0</v>
      </c>
      <c r="AO286" s="26">
        <f aca="true" t="shared" si="103" ref="AO286:AO292">H286*(1-0)</f>
        <v>0</v>
      </c>
      <c r="AP286" s="27" t="s">
        <v>7</v>
      </c>
      <c r="AU286" s="26">
        <f aca="true" t="shared" si="104" ref="AU286:AU292">AV286+AW286</f>
        <v>0</v>
      </c>
      <c r="AV286" s="26">
        <f aca="true" t="shared" si="105" ref="AV286:AV292">G286*AN286</f>
        <v>0</v>
      </c>
      <c r="AW286" s="26">
        <f aca="true" t="shared" si="106" ref="AW286:AW292">G286*AO286</f>
        <v>0</v>
      </c>
      <c r="AX286" s="29" t="s">
        <v>906</v>
      </c>
      <c r="AY286" s="29" t="s">
        <v>929</v>
      </c>
      <c r="AZ286" s="24" t="s">
        <v>937</v>
      </c>
      <c r="BB286" s="26">
        <f aca="true" t="shared" si="107" ref="BB286:BB292">AV286+AW286</f>
        <v>0</v>
      </c>
      <c r="BC286" s="26">
        <f aca="true" t="shared" si="108" ref="BC286:BC292">H286/(100-BD286)*100</f>
        <v>0</v>
      </c>
      <c r="BD286" s="26">
        <v>0</v>
      </c>
      <c r="BE286" s="26">
        <f aca="true" t="shared" si="109" ref="BE286:BE292">M286</f>
        <v>0</v>
      </c>
      <c r="BG286" s="16">
        <f aca="true" t="shared" si="110" ref="BG286:BG292">G286*AN286</f>
        <v>0</v>
      </c>
      <c r="BH286" s="16">
        <f aca="true" t="shared" si="111" ref="BH286:BH292">G286*AO286</f>
        <v>0</v>
      </c>
      <c r="BI286" s="16">
        <f aca="true" t="shared" si="112" ref="BI286:BI292">G286*H286</f>
        <v>0</v>
      </c>
      <c r="BJ286" s="16" t="s">
        <v>945</v>
      </c>
      <c r="BK286" s="26">
        <v>96</v>
      </c>
    </row>
    <row r="287" spans="1:63" ht="12.75">
      <c r="A287" s="4" t="s">
        <v>153</v>
      </c>
      <c r="B287" s="12" t="s">
        <v>273</v>
      </c>
      <c r="C287" s="53" t="s">
        <v>428</v>
      </c>
      <c r="D287" s="230" t="s">
        <v>711</v>
      </c>
      <c r="E287" s="231"/>
      <c r="F287" s="62" t="s">
        <v>850</v>
      </c>
      <c r="G287" s="104">
        <v>41</v>
      </c>
      <c r="H287" s="104"/>
      <c r="I287" s="16">
        <f t="shared" si="87"/>
        <v>0</v>
      </c>
      <c r="J287" s="16">
        <f t="shared" si="88"/>
        <v>0</v>
      </c>
      <c r="K287" s="126">
        <f t="shared" si="89"/>
        <v>0</v>
      </c>
      <c r="L287" s="16">
        <v>0</v>
      </c>
      <c r="M287" s="16">
        <f t="shared" si="90"/>
        <v>0</v>
      </c>
      <c r="N287" s="5"/>
      <c r="Y287" s="26">
        <f t="shared" si="91"/>
        <v>0</v>
      </c>
      <c r="AA287" s="26">
        <f t="shared" si="92"/>
        <v>0</v>
      </c>
      <c r="AB287" s="26">
        <f t="shared" si="93"/>
        <v>0</v>
      </c>
      <c r="AC287" s="26">
        <f t="shared" si="94"/>
        <v>0</v>
      </c>
      <c r="AD287" s="26">
        <f t="shared" si="95"/>
        <v>0</v>
      </c>
      <c r="AE287" s="26">
        <f t="shared" si="96"/>
        <v>0</v>
      </c>
      <c r="AF287" s="26">
        <f t="shared" si="97"/>
        <v>0</v>
      </c>
      <c r="AG287" s="26">
        <f t="shared" si="98"/>
        <v>0</v>
      </c>
      <c r="AH287" s="24" t="s">
        <v>273</v>
      </c>
      <c r="AI287" s="16">
        <f t="shared" si="99"/>
        <v>0</v>
      </c>
      <c r="AJ287" s="16">
        <f t="shared" si="100"/>
        <v>0</v>
      </c>
      <c r="AK287" s="16">
        <f t="shared" si="101"/>
        <v>0</v>
      </c>
      <c r="AM287" s="26">
        <v>15</v>
      </c>
      <c r="AN287" s="26">
        <f t="shared" si="102"/>
        <v>0</v>
      </c>
      <c r="AO287" s="26">
        <f t="shared" si="103"/>
        <v>0</v>
      </c>
      <c r="AP287" s="27" t="s">
        <v>7</v>
      </c>
      <c r="AU287" s="26">
        <f t="shared" si="104"/>
        <v>0</v>
      </c>
      <c r="AV287" s="26">
        <f t="shared" si="105"/>
        <v>0</v>
      </c>
      <c r="AW287" s="26">
        <f t="shared" si="106"/>
        <v>0</v>
      </c>
      <c r="AX287" s="29" t="s">
        <v>906</v>
      </c>
      <c r="AY287" s="29" t="s">
        <v>929</v>
      </c>
      <c r="AZ287" s="24" t="s">
        <v>937</v>
      </c>
      <c r="BB287" s="26">
        <f t="shared" si="107"/>
        <v>0</v>
      </c>
      <c r="BC287" s="26">
        <f t="shared" si="108"/>
        <v>0</v>
      </c>
      <c r="BD287" s="26">
        <v>0</v>
      </c>
      <c r="BE287" s="26">
        <f t="shared" si="109"/>
        <v>0</v>
      </c>
      <c r="BG287" s="16">
        <f t="shared" si="110"/>
        <v>0</v>
      </c>
      <c r="BH287" s="16">
        <f t="shared" si="111"/>
        <v>0</v>
      </c>
      <c r="BI287" s="16">
        <f t="shared" si="112"/>
        <v>0</v>
      </c>
      <c r="BJ287" s="16" t="s">
        <v>945</v>
      </c>
      <c r="BK287" s="26">
        <v>96</v>
      </c>
    </row>
    <row r="288" spans="1:63" ht="12.75">
      <c r="A288" s="4" t="s">
        <v>154</v>
      </c>
      <c r="B288" s="12" t="s">
        <v>273</v>
      </c>
      <c r="C288" s="53" t="s">
        <v>429</v>
      </c>
      <c r="D288" s="230" t="s">
        <v>712</v>
      </c>
      <c r="E288" s="231"/>
      <c r="F288" s="62" t="s">
        <v>850</v>
      </c>
      <c r="G288" s="104">
        <v>9</v>
      </c>
      <c r="H288" s="104"/>
      <c r="I288" s="16">
        <f t="shared" si="87"/>
        <v>0</v>
      </c>
      <c r="J288" s="16">
        <f t="shared" si="88"/>
        <v>0</v>
      </c>
      <c r="K288" s="126">
        <f t="shared" si="89"/>
        <v>0</v>
      </c>
      <c r="L288" s="16">
        <v>0</v>
      </c>
      <c r="M288" s="16">
        <f t="shared" si="90"/>
        <v>0</v>
      </c>
      <c r="N288" s="5"/>
      <c r="Y288" s="26">
        <f t="shared" si="91"/>
        <v>0</v>
      </c>
      <c r="AA288" s="26">
        <f t="shared" si="92"/>
        <v>0</v>
      </c>
      <c r="AB288" s="26">
        <f t="shared" si="93"/>
        <v>0</v>
      </c>
      <c r="AC288" s="26">
        <f t="shared" si="94"/>
        <v>0</v>
      </c>
      <c r="AD288" s="26">
        <f t="shared" si="95"/>
        <v>0</v>
      </c>
      <c r="AE288" s="26">
        <f t="shared" si="96"/>
        <v>0</v>
      </c>
      <c r="AF288" s="26">
        <f t="shared" si="97"/>
        <v>0</v>
      </c>
      <c r="AG288" s="26">
        <f t="shared" si="98"/>
        <v>0</v>
      </c>
      <c r="AH288" s="24" t="s">
        <v>273</v>
      </c>
      <c r="AI288" s="16">
        <f t="shared" si="99"/>
        <v>0</v>
      </c>
      <c r="AJ288" s="16">
        <f t="shared" si="100"/>
        <v>0</v>
      </c>
      <c r="AK288" s="16">
        <f t="shared" si="101"/>
        <v>0</v>
      </c>
      <c r="AM288" s="26">
        <v>15</v>
      </c>
      <c r="AN288" s="26">
        <f t="shared" si="102"/>
        <v>0</v>
      </c>
      <c r="AO288" s="26">
        <f t="shared" si="103"/>
        <v>0</v>
      </c>
      <c r="AP288" s="27" t="s">
        <v>7</v>
      </c>
      <c r="AU288" s="26">
        <f t="shared" si="104"/>
        <v>0</v>
      </c>
      <c r="AV288" s="26">
        <f t="shared" si="105"/>
        <v>0</v>
      </c>
      <c r="AW288" s="26">
        <f t="shared" si="106"/>
        <v>0</v>
      </c>
      <c r="AX288" s="29" t="s">
        <v>906</v>
      </c>
      <c r="AY288" s="29" t="s">
        <v>929</v>
      </c>
      <c r="AZ288" s="24" t="s">
        <v>937</v>
      </c>
      <c r="BB288" s="26">
        <f t="shared" si="107"/>
        <v>0</v>
      </c>
      <c r="BC288" s="26">
        <f t="shared" si="108"/>
        <v>0</v>
      </c>
      <c r="BD288" s="26">
        <v>0</v>
      </c>
      <c r="BE288" s="26">
        <f t="shared" si="109"/>
        <v>0</v>
      </c>
      <c r="BG288" s="16">
        <f t="shared" si="110"/>
        <v>0</v>
      </c>
      <c r="BH288" s="16">
        <f t="shared" si="111"/>
        <v>0</v>
      </c>
      <c r="BI288" s="16">
        <f t="shared" si="112"/>
        <v>0</v>
      </c>
      <c r="BJ288" s="16" t="s">
        <v>945</v>
      </c>
      <c r="BK288" s="26">
        <v>96</v>
      </c>
    </row>
    <row r="289" spans="1:63" ht="12.75">
      <c r="A289" s="4" t="s">
        <v>155</v>
      </c>
      <c r="B289" s="12" t="s">
        <v>273</v>
      </c>
      <c r="C289" s="53" t="s">
        <v>430</v>
      </c>
      <c r="D289" s="230" t="s">
        <v>713</v>
      </c>
      <c r="E289" s="231"/>
      <c r="F289" s="62" t="s">
        <v>850</v>
      </c>
      <c r="G289" s="104">
        <v>2</v>
      </c>
      <c r="H289" s="104"/>
      <c r="I289" s="16">
        <f t="shared" si="87"/>
        <v>0</v>
      </c>
      <c r="J289" s="16">
        <f t="shared" si="88"/>
        <v>0</v>
      </c>
      <c r="K289" s="126">
        <f t="shared" si="89"/>
        <v>0</v>
      </c>
      <c r="L289" s="16">
        <v>0</v>
      </c>
      <c r="M289" s="16">
        <f t="shared" si="90"/>
        <v>0</v>
      </c>
      <c r="N289" s="5"/>
      <c r="Y289" s="26">
        <f t="shared" si="91"/>
        <v>0</v>
      </c>
      <c r="AA289" s="26">
        <f t="shared" si="92"/>
        <v>0</v>
      </c>
      <c r="AB289" s="26">
        <f t="shared" si="93"/>
        <v>0</v>
      </c>
      <c r="AC289" s="26">
        <f t="shared" si="94"/>
        <v>0</v>
      </c>
      <c r="AD289" s="26">
        <f t="shared" si="95"/>
        <v>0</v>
      </c>
      <c r="AE289" s="26">
        <f t="shared" si="96"/>
        <v>0</v>
      </c>
      <c r="AF289" s="26">
        <f t="shared" si="97"/>
        <v>0</v>
      </c>
      <c r="AG289" s="26">
        <f t="shared" si="98"/>
        <v>0</v>
      </c>
      <c r="AH289" s="24" t="s">
        <v>273</v>
      </c>
      <c r="AI289" s="16">
        <f t="shared" si="99"/>
        <v>0</v>
      </c>
      <c r="AJ289" s="16">
        <f t="shared" si="100"/>
        <v>0</v>
      </c>
      <c r="AK289" s="16">
        <f t="shared" si="101"/>
        <v>0</v>
      </c>
      <c r="AM289" s="26">
        <v>15</v>
      </c>
      <c r="AN289" s="26">
        <f t="shared" si="102"/>
        <v>0</v>
      </c>
      <c r="AO289" s="26">
        <f t="shared" si="103"/>
        <v>0</v>
      </c>
      <c r="AP289" s="27" t="s">
        <v>7</v>
      </c>
      <c r="AU289" s="26">
        <f t="shared" si="104"/>
        <v>0</v>
      </c>
      <c r="AV289" s="26">
        <f t="shared" si="105"/>
        <v>0</v>
      </c>
      <c r="AW289" s="26">
        <f t="shared" si="106"/>
        <v>0</v>
      </c>
      <c r="AX289" s="29" t="s">
        <v>906</v>
      </c>
      <c r="AY289" s="29" t="s">
        <v>929</v>
      </c>
      <c r="AZ289" s="24" t="s">
        <v>937</v>
      </c>
      <c r="BB289" s="26">
        <f t="shared" si="107"/>
        <v>0</v>
      </c>
      <c r="BC289" s="26">
        <f t="shared" si="108"/>
        <v>0</v>
      </c>
      <c r="BD289" s="26">
        <v>0</v>
      </c>
      <c r="BE289" s="26">
        <f t="shared" si="109"/>
        <v>0</v>
      </c>
      <c r="BG289" s="16">
        <f t="shared" si="110"/>
        <v>0</v>
      </c>
      <c r="BH289" s="16">
        <f t="shared" si="111"/>
        <v>0</v>
      </c>
      <c r="BI289" s="16">
        <f t="shared" si="112"/>
        <v>0</v>
      </c>
      <c r="BJ289" s="16" t="s">
        <v>945</v>
      </c>
      <c r="BK289" s="26">
        <v>96</v>
      </c>
    </row>
    <row r="290" spans="1:63" ht="12.75">
      <c r="A290" s="4" t="s">
        <v>156</v>
      </c>
      <c r="B290" s="12" t="s">
        <v>273</v>
      </c>
      <c r="C290" s="53" t="s">
        <v>431</v>
      </c>
      <c r="D290" s="230" t="s">
        <v>714</v>
      </c>
      <c r="E290" s="231"/>
      <c r="F290" s="62" t="s">
        <v>850</v>
      </c>
      <c r="G290" s="104">
        <v>2</v>
      </c>
      <c r="H290" s="104"/>
      <c r="I290" s="16">
        <f t="shared" si="87"/>
        <v>0</v>
      </c>
      <c r="J290" s="16">
        <f t="shared" si="88"/>
        <v>0</v>
      </c>
      <c r="K290" s="126">
        <f t="shared" si="89"/>
        <v>0</v>
      </c>
      <c r="L290" s="16">
        <v>0</v>
      </c>
      <c r="M290" s="16">
        <f t="shared" si="90"/>
        <v>0</v>
      </c>
      <c r="N290" s="5"/>
      <c r="Y290" s="26">
        <f t="shared" si="91"/>
        <v>0</v>
      </c>
      <c r="AA290" s="26">
        <f t="shared" si="92"/>
        <v>0</v>
      </c>
      <c r="AB290" s="26">
        <f t="shared" si="93"/>
        <v>0</v>
      </c>
      <c r="AC290" s="26">
        <f t="shared" si="94"/>
        <v>0</v>
      </c>
      <c r="AD290" s="26">
        <f t="shared" si="95"/>
        <v>0</v>
      </c>
      <c r="AE290" s="26">
        <f t="shared" si="96"/>
        <v>0</v>
      </c>
      <c r="AF290" s="26">
        <f t="shared" si="97"/>
        <v>0</v>
      </c>
      <c r="AG290" s="26">
        <f t="shared" si="98"/>
        <v>0</v>
      </c>
      <c r="AH290" s="24" t="s">
        <v>273</v>
      </c>
      <c r="AI290" s="16">
        <f t="shared" si="99"/>
        <v>0</v>
      </c>
      <c r="AJ290" s="16">
        <f t="shared" si="100"/>
        <v>0</v>
      </c>
      <c r="AK290" s="16">
        <f t="shared" si="101"/>
        <v>0</v>
      </c>
      <c r="AM290" s="26">
        <v>15</v>
      </c>
      <c r="AN290" s="26">
        <f t="shared" si="102"/>
        <v>0</v>
      </c>
      <c r="AO290" s="26">
        <f t="shared" si="103"/>
        <v>0</v>
      </c>
      <c r="AP290" s="27" t="s">
        <v>7</v>
      </c>
      <c r="AU290" s="26">
        <f t="shared" si="104"/>
        <v>0</v>
      </c>
      <c r="AV290" s="26">
        <f t="shared" si="105"/>
        <v>0</v>
      </c>
      <c r="AW290" s="26">
        <f t="shared" si="106"/>
        <v>0</v>
      </c>
      <c r="AX290" s="29" t="s">
        <v>906</v>
      </c>
      <c r="AY290" s="29" t="s">
        <v>929</v>
      </c>
      <c r="AZ290" s="24" t="s">
        <v>937</v>
      </c>
      <c r="BB290" s="26">
        <f t="shared" si="107"/>
        <v>0</v>
      </c>
      <c r="BC290" s="26">
        <f t="shared" si="108"/>
        <v>0</v>
      </c>
      <c r="BD290" s="26">
        <v>0</v>
      </c>
      <c r="BE290" s="26">
        <f t="shared" si="109"/>
        <v>0</v>
      </c>
      <c r="BG290" s="16">
        <f t="shared" si="110"/>
        <v>0</v>
      </c>
      <c r="BH290" s="16">
        <f t="shared" si="111"/>
        <v>0</v>
      </c>
      <c r="BI290" s="16">
        <f t="shared" si="112"/>
        <v>0</v>
      </c>
      <c r="BJ290" s="16" t="s">
        <v>945</v>
      </c>
      <c r="BK290" s="26">
        <v>96</v>
      </c>
    </row>
    <row r="291" spans="1:63" ht="12.75">
      <c r="A291" s="4" t="s">
        <v>157</v>
      </c>
      <c r="B291" s="12" t="s">
        <v>273</v>
      </c>
      <c r="C291" s="53" t="s">
        <v>432</v>
      </c>
      <c r="D291" s="230" t="s">
        <v>715</v>
      </c>
      <c r="E291" s="231"/>
      <c r="F291" s="62" t="s">
        <v>850</v>
      </c>
      <c r="G291" s="104">
        <v>4</v>
      </c>
      <c r="H291" s="104"/>
      <c r="I291" s="16">
        <f t="shared" si="87"/>
        <v>0</v>
      </c>
      <c r="J291" s="16">
        <f t="shared" si="88"/>
        <v>0</v>
      </c>
      <c r="K291" s="126">
        <f t="shared" si="89"/>
        <v>0</v>
      </c>
      <c r="L291" s="16">
        <v>0</v>
      </c>
      <c r="M291" s="16">
        <f t="shared" si="90"/>
        <v>0</v>
      </c>
      <c r="N291" s="5"/>
      <c r="Y291" s="26">
        <f t="shared" si="91"/>
        <v>0</v>
      </c>
      <c r="AA291" s="26">
        <f t="shared" si="92"/>
        <v>0</v>
      </c>
      <c r="AB291" s="26">
        <f t="shared" si="93"/>
        <v>0</v>
      </c>
      <c r="AC291" s="26">
        <f t="shared" si="94"/>
        <v>0</v>
      </c>
      <c r="AD291" s="26">
        <f t="shared" si="95"/>
        <v>0</v>
      </c>
      <c r="AE291" s="26">
        <f t="shared" si="96"/>
        <v>0</v>
      </c>
      <c r="AF291" s="26">
        <f t="shared" si="97"/>
        <v>0</v>
      </c>
      <c r="AG291" s="26">
        <f t="shared" si="98"/>
        <v>0</v>
      </c>
      <c r="AH291" s="24" t="s">
        <v>273</v>
      </c>
      <c r="AI291" s="16">
        <f t="shared" si="99"/>
        <v>0</v>
      </c>
      <c r="AJ291" s="16">
        <f t="shared" si="100"/>
        <v>0</v>
      </c>
      <c r="AK291" s="16">
        <f t="shared" si="101"/>
        <v>0</v>
      </c>
      <c r="AM291" s="26">
        <v>15</v>
      </c>
      <c r="AN291" s="26">
        <f t="shared" si="102"/>
        <v>0</v>
      </c>
      <c r="AO291" s="26">
        <f t="shared" si="103"/>
        <v>0</v>
      </c>
      <c r="AP291" s="27" t="s">
        <v>7</v>
      </c>
      <c r="AU291" s="26">
        <f t="shared" si="104"/>
        <v>0</v>
      </c>
      <c r="AV291" s="26">
        <f t="shared" si="105"/>
        <v>0</v>
      </c>
      <c r="AW291" s="26">
        <f t="shared" si="106"/>
        <v>0</v>
      </c>
      <c r="AX291" s="29" t="s">
        <v>906</v>
      </c>
      <c r="AY291" s="29" t="s">
        <v>929</v>
      </c>
      <c r="AZ291" s="24" t="s">
        <v>937</v>
      </c>
      <c r="BB291" s="26">
        <f t="shared" si="107"/>
        <v>0</v>
      </c>
      <c r="BC291" s="26">
        <f t="shared" si="108"/>
        <v>0</v>
      </c>
      <c r="BD291" s="26">
        <v>0</v>
      </c>
      <c r="BE291" s="26">
        <f t="shared" si="109"/>
        <v>0</v>
      </c>
      <c r="BG291" s="16">
        <f t="shared" si="110"/>
        <v>0</v>
      </c>
      <c r="BH291" s="16">
        <f t="shared" si="111"/>
        <v>0</v>
      </c>
      <c r="BI291" s="16">
        <f t="shared" si="112"/>
        <v>0</v>
      </c>
      <c r="BJ291" s="16" t="s">
        <v>945</v>
      </c>
      <c r="BK291" s="26">
        <v>96</v>
      </c>
    </row>
    <row r="292" spans="1:63" ht="12.75">
      <c r="A292" s="4" t="s">
        <v>158</v>
      </c>
      <c r="B292" s="12" t="s">
        <v>273</v>
      </c>
      <c r="C292" s="53" t="s">
        <v>433</v>
      </c>
      <c r="D292" s="230" t="s">
        <v>716</v>
      </c>
      <c r="E292" s="231"/>
      <c r="F292" s="62" t="s">
        <v>850</v>
      </c>
      <c r="G292" s="104">
        <v>1</v>
      </c>
      <c r="H292" s="104"/>
      <c r="I292" s="16">
        <f t="shared" si="87"/>
        <v>0</v>
      </c>
      <c r="J292" s="16">
        <f t="shared" si="88"/>
        <v>0</v>
      </c>
      <c r="K292" s="126">
        <f t="shared" si="89"/>
        <v>0</v>
      </c>
      <c r="L292" s="16">
        <v>0</v>
      </c>
      <c r="M292" s="16">
        <f t="shared" si="90"/>
        <v>0</v>
      </c>
      <c r="N292" s="5"/>
      <c r="Y292" s="26">
        <f t="shared" si="91"/>
        <v>0</v>
      </c>
      <c r="AA292" s="26">
        <f t="shared" si="92"/>
        <v>0</v>
      </c>
      <c r="AB292" s="26">
        <f t="shared" si="93"/>
        <v>0</v>
      </c>
      <c r="AC292" s="26">
        <f t="shared" si="94"/>
        <v>0</v>
      </c>
      <c r="AD292" s="26">
        <f t="shared" si="95"/>
        <v>0</v>
      </c>
      <c r="AE292" s="26">
        <f t="shared" si="96"/>
        <v>0</v>
      </c>
      <c r="AF292" s="26">
        <f t="shared" si="97"/>
        <v>0</v>
      </c>
      <c r="AG292" s="26">
        <f t="shared" si="98"/>
        <v>0</v>
      </c>
      <c r="AH292" s="24" t="s">
        <v>273</v>
      </c>
      <c r="AI292" s="16">
        <f t="shared" si="99"/>
        <v>0</v>
      </c>
      <c r="AJ292" s="16">
        <f t="shared" si="100"/>
        <v>0</v>
      </c>
      <c r="AK292" s="16">
        <f t="shared" si="101"/>
        <v>0</v>
      </c>
      <c r="AM292" s="26">
        <v>15</v>
      </c>
      <c r="AN292" s="26">
        <f t="shared" si="102"/>
        <v>0</v>
      </c>
      <c r="AO292" s="26">
        <f t="shared" si="103"/>
        <v>0</v>
      </c>
      <c r="AP292" s="27" t="s">
        <v>7</v>
      </c>
      <c r="AU292" s="26">
        <f t="shared" si="104"/>
        <v>0</v>
      </c>
      <c r="AV292" s="26">
        <f t="shared" si="105"/>
        <v>0</v>
      </c>
      <c r="AW292" s="26">
        <f t="shared" si="106"/>
        <v>0</v>
      </c>
      <c r="AX292" s="29" t="s">
        <v>906</v>
      </c>
      <c r="AY292" s="29" t="s">
        <v>929</v>
      </c>
      <c r="AZ292" s="24" t="s">
        <v>937</v>
      </c>
      <c r="BB292" s="26">
        <f t="shared" si="107"/>
        <v>0</v>
      </c>
      <c r="BC292" s="26">
        <f t="shared" si="108"/>
        <v>0</v>
      </c>
      <c r="BD292" s="26">
        <v>0</v>
      </c>
      <c r="BE292" s="26">
        <f t="shared" si="109"/>
        <v>0</v>
      </c>
      <c r="BG292" s="16">
        <f t="shared" si="110"/>
        <v>0</v>
      </c>
      <c r="BH292" s="16">
        <f t="shared" si="111"/>
        <v>0</v>
      </c>
      <c r="BI292" s="16">
        <f t="shared" si="112"/>
        <v>0</v>
      </c>
      <c r="BJ292" s="16" t="s">
        <v>945</v>
      </c>
      <c r="BK292" s="26">
        <v>96</v>
      </c>
    </row>
    <row r="293" spans="1:14" s="58" customFormat="1" ht="12.75">
      <c r="A293" s="57"/>
      <c r="C293" s="59" t="s">
        <v>991</v>
      </c>
      <c r="D293" s="232" t="s">
        <v>1089</v>
      </c>
      <c r="E293" s="233"/>
      <c r="F293" s="233"/>
      <c r="G293" s="233"/>
      <c r="H293" s="233"/>
      <c r="I293" s="233"/>
      <c r="J293" s="233"/>
      <c r="K293" s="233"/>
      <c r="L293" s="233"/>
      <c r="M293" s="233"/>
      <c r="N293" s="57"/>
    </row>
    <row r="294" spans="1:63" ht="12.75">
      <c r="A294" s="4" t="s">
        <v>159</v>
      </c>
      <c r="B294" s="12" t="s">
        <v>273</v>
      </c>
      <c r="C294" s="53" t="s">
        <v>434</v>
      </c>
      <c r="D294" s="230" t="s">
        <v>717</v>
      </c>
      <c r="E294" s="231"/>
      <c r="F294" s="62" t="s">
        <v>847</v>
      </c>
      <c r="G294" s="104">
        <v>35</v>
      </c>
      <c r="H294" s="104"/>
      <c r="I294" s="16">
        <f>G294*AN294</f>
        <v>0</v>
      </c>
      <c r="J294" s="16">
        <f>G294*AO294</f>
        <v>0</v>
      </c>
      <c r="K294" s="126">
        <f>G294*H294</f>
        <v>0</v>
      </c>
      <c r="L294" s="16">
        <v>0.004</v>
      </c>
      <c r="M294" s="16">
        <f>G294*L294</f>
        <v>0.14</v>
      </c>
      <c r="N294" s="5"/>
      <c r="Y294" s="26">
        <f>IF(AP294="5",BI294,0)</f>
        <v>0</v>
      </c>
      <c r="AA294" s="26">
        <f>IF(AP294="1",BG294,0)</f>
        <v>0</v>
      </c>
      <c r="AB294" s="26">
        <f>IF(AP294="1",BH294,0)</f>
        <v>0</v>
      </c>
      <c r="AC294" s="26">
        <f>IF(AP294="7",BG294,0)</f>
        <v>0</v>
      </c>
      <c r="AD294" s="26">
        <f>IF(AP294="7",BH294,0)</f>
        <v>0</v>
      </c>
      <c r="AE294" s="26">
        <f>IF(AP294="2",BG294,0)</f>
        <v>0</v>
      </c>
      <c r="AF294" s="26">
        <f>IF(AP294="2",BH294,0)</f>
        <v>0</v>
      </c>
      <c r="AG294" s="26">
        <f>IF(AP294="0",BI294,0)</f>
        <v>0</v>
      </c>
      <c r="AH294" s="24" t="s">
        <v>273</v>
      </c>
      <c r="AI294" s="16">
        <f>IF(AM294=0,K294,0)</f>
        <v>0</v>
      </c>
      <c r="AJ294" s="16">
        <f>IF(AM294=15,K294,0)</f>
        <v>0</v>
      </c>
      <c r="AK294" s="16">
        <f>IF(AM294=21,K294,0)</f>
        <v>0</v>
      </c>
      <c r="AM294" s="26">
        <v>15</v>
      </c>
      <c r="AN294" s="26">
        <f>H294*0</f>
        <v>0</v>
      </c>
      <c r="AO294" s="26">
        <f>H294*(1-0)</f>
        <v>0</v>
      </c>
      <c r="AP294" s="27" t="s">
        <v>7</v>
      </c>
      <c r="AU294" s="26">
        <f>AV294+AW294</f>
        <v>0</v>
      </c>
      <c r="AV294" s="26">
        <f>G294*AN294</f>
        <v>0</v>
      </c>
      <c r="AW294" s="26">
        <f>G294*AO294</f>
        <v>0</v>
      </c>
      <c r="AX294" s="29" t="s">
        <v>906</v>
      </c>
      <c r="AY294" s="29" t="s">
        <v>929</v>
      </c>
      <c r="AZ294" s="24" t="s">
        <v>937</v>
      </c>
      <c r="BB294" s="26">
        <f>AV294+AW294</f>
        <v>0</v>
      </c>
      <c r="BC294" s="26">
        <f>H294/(100-BD294)*100</f>
        <v>0</v>
      </c>
      <c r="BD294" s="26">
        <v>0</v>
      </c>
      <c r="BE294" s="26">
        <f>M294</f>
        <v>0.14</v>
      </c>
      <c r="BG294" s="16">
        <f>G294*AN294</f>
        <v>0</v>
      </c>
      <c r="BH294" s="16">
        <f>G294*AO294</f>
        <v>0</v>
      </c>
      <c r="BI294" s="16">
        <f>G294*H294</f>
        <v>0</v>
      </c>
      <c r="BJ294" s="16" t="s">
        <v>945</v>
      </c>
      <c r="BK294" s="26">
        <v>96</v>
      </c>
    </row>
    <row r="295" spans="1:14" s="58" customFormat="1" ht="12.75">
      <c r="A295" s="57"/>
      <c r="C295" s="59" t="s">
        <v>991</v>
      </c>
      <c r="D295" s="232" t="s">
        <v>1090</v>
      </c>
      <c r="E295" s="233"/>
      <c r="F295" s="233"/>
      <c r="G295" s="233"/>
      <c r="H295" s="233"/>
      <c r="I295" s="233"/>
      <c r="J295" s="233"/>
      <c r="K295" s="233"/>
      <c r="L295" s="233"/>
      <c r="M295" s="233"/>
      <c r="N295" s="57"/>
    </row>
    <row r="296" spans="1:63" ht="12.75">
      <c r="A296" s="4" t="s">
        <v>160</v>
      </c>
      <c r="B296" s="12" t="s">
        <v>273</v>
      </c>
      <c r="C296" s="53" t="s">
        <v>435</v>
      </c>
      <c r="D296" s="230" t="s">
        <v>718</v>
      </c>
      <c r="E296" s="231"/>
      <c r="F296" s="62" t="s">
        <v>849</v>
      </c>
      <c r="G296" s="104">
        <v>4</v>
      </c>
      <c r="H296" s="104"/>
      <c r="I296" s="16">
        <f>G296*AN296</f>
        <v>0</v>
      </c>
      <c r="J296" s="16">
        <f>G296*AO296</f>
        <v>0</v>
      </c>
      <c r="K296" s="126">
        <f>G296*H296</f>
        <v>0</v>
      </c>
      <c r="L296" s="16">
        <v>0</v>
      </c>
      <c r="M296" s="16">
        <f>G296*L296</f>
        <v>0</v>
      </c>
      <c r="N296" s="5"/>
      <c r="Y296" s="26">
        <f>IF(AP296="5",BI296,0)</f>
        <v>0</v>
      </c>
      <c r="AA296" s="26">
        <f>IF(AP296="1",BG296,0)</f>
        <v>0</v>
      </c>
      <c r="AB296" s="26">
        <f>IF(AP296="1",BH296,0)</f>
        <v>0</v>
      </c>
      <c r="AC296" s="26">
        <f>IF(AP296="7",BG296,0)</f>
        <v>0</v>
      </c>
      <c r="AD296" s="26">
        <f>IF(AP296="7",BH296,0)</f>
        <v>0</v>
      </c>
      <c r="AE296" s="26">
        <f>IF(AP296="2",BG296,0)</f>
        <v>0</v>
      </c>
      <c r="AF296" s="26">
        <f>IF(AP296="2",BH296,0)</f>
        <v>0</v>
      </c>
      <c r="AG296" s="26">
        <f>IF(AP296="0",BI296,0)</f>
        <v>0</v>
      </c>
      <c r="AH296" s="24" t="s">
        <v>273</v>
      </c>
      <c r="AI296" s="16">
        <f>IF(AM296=0,K296,0)</f>
        <v>0</v>
      </c>
      <c r="AJ296" s="16">
        <f>IF(AM296=15,K296,0)</f>
        <v>0</v>
      </c>
      <c r="AK296" s="16">
        <f>IF(AM296=21,K296,0)</f>
        <v>0</v>
      </c>
      <c r="AM296" s="26">
        <v>15</v>
      </c>
      <c r="AN296" s="26">
        <f>H296*0</f>
        <v>0</v>
      </c>
      <c r="AO296" s="26">
        <f>H296*(1-0)</f>
        <v>0</v>
      </c>
      <c r="AP296" s="27" t="s">
        <v>7</v>
      </c>
      <c r="AU296" s="26">
        <f>AV296+AW296</f>
        <v>0</v>
      </c>
      <c r="AV296" s="26">
        <f>G296*AN296</f>
        <v>0</v>
      </c>
      <c r="AW296" s="26">
        <f>G296*AO296</f>
        <v>0</v>
      </c>
      <c r="AX296" s="29" t="s">
        <v>906</v>
      </c>
      <c r="AY296" s="29" t="s">
        <v>929</v>
      </c>
      <c r="AZ296" s="24" t="s">
        <v>937</v>
      </c>
      <c r="BB296" s="26">
        <f>AV296+AW296</f>
        <v>0</v>
      </c>
      <c r="BC296" s="26">
        <f>H296/(100-BD296)*100</f>
        <v>0</v>
      </c>
      <c r="BD296" s="26">
        <v>0</v>
      </c>
      <c r="BE296" s="26">
        <f>M296</f>
        <v>0</v>
      </c>
      <c r="BG296" s="16">
        <f>G296*AN296</f>
        <v>0</v>
      </c>
      <c r="BH296" s="16">
        <f>G296*AO296</f>
        <v>0</v>
      </c>
      <c r="BI296" s="16">
        <f>G296*H296</f>
        <v>0</v>
      </c>
      <c r="BJ296" s="16" t="s">
        <v>945</v>
      </c>
      <c r="BK296" s="26">
        <v>96</v>
      </c>
    </row>
    <row r="297" spans="1:46" ht="12.75">
      <c r="A297" s="3"/>
      <c r="B297" s="11" t="s">
        <v>273</v>
      </c>
      <c r="C297" s="52" t="s">
        <v>103</v>
      </c>
      <c r="D297" s="228" t="s">
        <v>719</v>
      </c>
      <c r="E297" s="229"/>
      <c r="F297" s="61" t="s">
        <v>6</v>
      </c>
      <c r="G297" s="61" t="s">
        <v>6</v>
      </c>
      <c r="H297" s="61" t="s">
        <v>6</v>
      </c>
      <c r="I297" s="31">
        <f>SUM(I298:I300)</f>
        <v>0</v>
      </c>
      <c r="J297" s="31">
        <f>SUM(J298:J300)</f>
        <v>0</v>
      </c>
      <c r="K297" s="128">
        <f>SUM(K298:K300)</f>
        <v>0</v>
      </c>
      <c r="L297" s="24"/>
      <c r="M297" s="31">
        <f>SUM(M298:M300)</f>
        <v>0.2344</v>
      </c>
      <c r="N297" s="5"/>
      <c r="AH297" s="24" t="s">
        <v>273</v>
      </c>
      <c r="AR297" s="31">
        <f>SUM(AI298:AI300)</f>
        <v>0</v>
      </c>
      <c r="AS297" s="31">
        <f>SUM(AJ298:AJ300)</f>
        <v>0</v>
      </c>
      <c r="AT297" s="31">
        <f>SUM(AK298:AK300)</f>
        <v>0</v>
      </c>
    </row>
    <row r="298" spans="1:63" ht="12.75">
      <c r="A298" s="4" t="s">
        <v>161</v>
      </c>
      <c r="B298" s="12" t="s">
        <v>273</v>
      </c>
      <c r="C298" s="53" t="s">
        <v>436</v>
      </c>
      <c r="D298" s="230" t="s">
        <v>720</v>
      </c>
      <c r="E298" s="231"/>
      <c r="F298" s="62" t="s">
        <v>847</v>
      </c>
      <c r="G298" s="104">
        <v>38.6</v>
      </c>
      <c r="H298" s="104"/>
      <c r="I298" s="16">
        <f>G298*AN298</f>
        <v>0</v>
      </c>
      <c r="J298" s="16">
        <f>G298*AO298</f>
        <v>0</v>
      </c>
      <c r="K298" s="126">
        <f>G298*H298</f>
        <v>0</v>
      </c>
      <c r="L298" s="16">
        <v>0.004</v>
      </c>
      <c r="M298" s="16">
        <f>G298*L298</f>
        <v>0.1544</v>
      </c>
      <c r="N298" s="5"/>
      <c r="Y298" s="26">
        <f>IF(AP298="5",BI298,0)</f>
        <v>0</v>
      </c>
      <c r="AA298" s="26">
        <f>IF(AP298="1",BG298,0)</f>
        <v>0</v>
      </c>
      <c r="AB298" s="26">
        <f>IF(AP298="1",BH298,0)</f>
        <v>0</v>
      </c>
      <c r="AC298" s="26">
        <f>IF(AP298="7",BG298,0)</f>
        <v>0</v>
      </c>
      <c r="AD298" s="26">
        <f>IF(AP298="7",BH298,0)</f>
        <v>0</v>
      </c>
      <c r="AE298" s="26">
        <f>IF(AP298="2",BG298,0)</f>
        <v>0</v>
      </c>
      <c r="AF298" s="26">
        <f>IF(AP298="2",BH298,0)</f>
        <v>0</v>
      </c>
      <c r="AG298" s="26">
        <f>IF(AP298="0",BI298,0)</f>
        <v>0</v>
      </c>
      <c r="AH298" s="24" t="s">
        <v>273</v>
      </c>
      <c r="AI298" s="16">
        <f>IF(AM298=0,K298,0)</f>
        <v>0</v>
      </c>
      <c r="AJ298" s="16">
        <f>IF(AM298=15,K298,0)</f>
        <v>0</v>
      </c>
      <c r="AK298" s="16">
        <f>IF(AM298=21,K298,0)</f>
        <v>0</v>
      </c>
      <c r="AM298" s="26">
        <v>15</v>
      </c>
      <c r="AN298" s="26">
        <f>H298*0</f>
        <v>0</v>
      </c>
      <c r="AO298" s="26">
        <f>H298*(1-0)</f>
        <v>0</v>
      </c>
      <c r="AP298" s="27" t="s">
        <v>7</v>
      </c>
      <c r="AU298" s="26">
        <f>AV298+AW298</f>
        <v>0</v>
      </c>
      <c r="AV298" s="26">
        <f>G298*AN298</f>
        <v>0</v>
      </c>
      <c r="AW298" s="26">
        <f>G298*AO298</f>
        <v>0</v>
      </c>
      <c r="AX298" s="29" t="s">
        <v>907</v>
      </c>
      <c r="AY298" s="29" t="s">
        <v>929</v>
      </c>
      <c r="AZ298" s="24" t="s">
        <v>937</v>
      </c>
      <c r="BB298" s="26">
        <f>AV298+AW298</f>
        <v>0</v>
      </c>
      <c r="BC298" s="26">
        <f>H298/(100-BD298)*100</f>
        <v>0</v>
      </c>
      <c r="BD298" s="26">
        <v>0</v>
      </c>
      <c r="BE298" s="26">
        <f>M298</f>
        <v>0.1544</v>
      </c>
      <c r="BG298" s="16">
        <f>G298*AN298</f>
        <v>0</v>
      </c>
      <c r="BH298" s="16">
        <f>G298*AO298</f>
        <v>0</v>
      </c>
      <c r="BI298" s="16">
        <f>G298*H298</f>
        <v>0</v>
      </c>
      <c r="BJ298" s="16" t="s">
        <v>945</v>
      </c>
      <c r="BK298" s="26">
        <v>97</v>
      </c>
    </row>
    <row r="299" spans="1:63" ht="12.75">
      <c r="A299" s="4" t="s">
        <v>162</v>
      </c>
      <c r="B299" s="12" t="s">
        <v>273</v>
      </c>
      <c r="C299" s="53" t="s">
        <v>437</v>
      </c>
      <c r="D299" s="230" t="s">
        <v>721</v>
      </c>
      <c r="E299" s="231"/>
      <c r="F299" s="62" t="s">
        <v>850</v>
      </c>
      <c r="G299" s="104">
        <v>20</v>
      </c>
      <c r="H299" s="104"/>
      <c r="I299" s="16">
        <f>G299*AN299</f>
        <v>0</v>
      </c>
      <c r="J299" s="16">
        <f>G299*AO299</f>
        <v>0</v>
      </c>
      <c r="K299" s="126">
        <f>G299*H299</f>
        <v>0</v>
      </c>
      <c r="L299" s="16">
        <v>0.004</v>
      </c>
      <c r="M299" s="16">
        <f>G299*L299</f>
        <v>0.08</v>
      </c>
      <c r="N299" s="5"/>
      <c r="Y299" s="26">
        <f>IF(AP299="5",BI299,0)</f>
        <v>0</v>
      </c>
      <c r="AA299" s="26">
        <f>IF(AP299="1",BG299,0)</f>
        <v>0</v>
      </c>
      <c r="AB299" s="26">
        <f>IF(AP299="1",BH299,0)</f>
        <v>0</v>
      </c>
      <c r="AC299" s="26">
        <f>IF(AP299="7",BG299,0)</f>
        <v>0</v>
      </c>
      <c r="AD299" s="26">
        <f>IF(AP299="7",BH299,0)</f>
        <v>0</v>
      </c>
      <c r="AE299" s="26">
        <f>IF(AP299="2",BG299,0)</f>
        <v>0</v>
      </c>
      <c r="AF299" s="26">
        <f>IF(AP299="2",BH299,0)</f>
        <v>0</v>
      </c>
      <c r="AG299" s="26">
        <f>IF(AP299="0",BI299,0)</f>
        <v>0</v>
      </c>
      <c r="AH299" s="24" t="s">
        <v>273</v>
      </c>
      <c r="AI299" s="16">
        <f>IF(AM299=0,K299,0)</f>
        <v>0</v>
      </c>
      <c r="AJ299" s="16">
        <f>IF(AM299=15,K299,0)</f>
        <v>0</v>
      </c>
      <c r="AK299" s="16">
        <f>IF(AM299=21,K299,0)</f>
        <v>0</v>
      </c>
      <c r="AM299" s="26">
        <v>15</v>
      </c>
      <c r="AN299" s="26">
        <f>H299*0</f>
        <v>0</v>
      </c>
      <c r="AO299" s="26">
        <f>H299*(1-0)</f>
        <v>0</v>
      </c>
      <c r="AP299" s="27" t="s">
        <v>7</v>
      </c>
      <c r="AU299" s="26">
        <f>AV299+AW299</f>
        <v>0</v>
      </c>
      <c r="AV299" s="26">
        <f>G299*AN299</f>
        <v>0</v>
      </c>
      <c r="AW299" s="26">
        <f>G299*AO299</f>
        <v>0</v>
      </c>
      <c r="AX299" s="29" t="s">
        <v>907</v>
      </c>
      <c r="AY299" s="29" t="s">
        <v>929</v>
      </c>
      <c r="AZ299" s="24" t="s">
        <v>937</v>
      </c>
      <c r="BB299" s="26">
        <f>AV299+AW299</f>
        <v>0</v>
      </c>
      <c r="BC299" s="26">
        <f>H299/(100-BD299)*100</f>
        <v>0</v>
      </c>
      <c r="BD299" s="26">
        <v>0</v>
      </c>
      <c r="BE299" s="26">
        <f>M299</f>
        <v>0.08</v>
      </c>
      <c r="BG299" s="16">
        <f>G299*AN299</f>
        <v>0</v>
      </c>
      <c r="BH299" s="16">
        <f>G299*AO299</f>
        <v>0</v>
      </c>
      <c r="BI299" s="16">
        <f>G299*H299</f>
        <v>0</v>
      </c>
      <c r="BJ299" s="16" t="s">
        <v>945</v>
      </c>
      <c r="BK299" s="26">
        <v>97</v>
      </c>
    </row>
    <row r="300" spans="1:63" ht="12.75">
      <c r="A300" s="4" t="s">
        <v>163</v>
      </c>
      <c r="B300" s="12" t="s">
        <v>273</v>
      </c>
      <c r="C300" s="53" t="s">
        <v>438</v>
      </c>
      <c r="D300" s="230" t="s">
        <v>722</v>
      </c>
      <c r="E300" s="231"/>
      <c r="F300" s="62" t="s">
        <v>847</v>
      </c>
      <c r="G300" s="104">
        <v>17.9</v>
      </c>
      <c r="H300" s="104"/>
      <c r="I300" s="16">
        <f>G300*AN300</f>
        <v>0</v>
      </c>
      <c r="J300" s="16">
        <f>G300*AO300</f>
        <v>0</v>
      </c>
      <c r="K300" s="126">
        <f>G300*H300</f>
        <v>0</v>
      </c>
      <c r="L300" s="16">
        <v>0</v>
      </c>
      <c r="M300" s="16">
        <f>G300*L300</f>
        <v>0</v>
      </c>
      <c r="N300" s="5"/>
      <c r="Y300" s="26">
        <f>IF(AP300="5",BI300,0)</f>
        <v>0</v>
      </c>
      <c r="AA300" s="26">
        <f>IF(AP300="1",BG300,0)</f>
        <v>0</v>
      </c>
      <c r="AB300" s="26">
        <f>IF(AP300="1",BH300,0)</f>
        <v>0</v>
      </c>
      <c r="AC300" s="26">
        <f>IF(AP300="7",BG300,0)</f>
        <v>0</v>
      </c>
      <c r="AD300" s="26">
        <f>IF(AP300="7",BH300,0)</f>
        <v>0</v>
      </c>
      <c r="AE300" s="26">
        <f>IF(AP300="2",BG300,0)</f>
        <v>0</v>
      </c>
      <c r="AF300" s="26">
        <f>IF(AP300="2",BH300,0)</f>
        <v>0</v>
      </c>
      <c r="AG300" s="26">
        <f>IF(AP300="0",BI300,0)</f>
        <v>0</v>
      </c>
      <c r="AH300" s="24" t="s">
        <v>273</v>
      </c>
      <c r="AI300" s="16">
        <f>IF(AM300=0,K300,0)</f>
        <v>0</v>
      </c>
      <c r="AJ300" s="16">
        <f>IF(AM300=15,K300,0)</f>
        <v>0</v>
      </c>
      <c r="AK300" s="16">
        <f>IF(AM300=21,K300,0)</f>
        <v>0</v>
      </c>
      <c r="AM300" s="26">
        <v>15</v>
      </c>
      <c r="AN300" s="26">
        <f>H300*0</f>
        <v>0</v>
      </c>
      <c r="AO300" s="26">
        <f>H300*(1-0)</f>
        <v>0</v>
      </c>
      <c r="AP300" s="27" t="s">
        <v>7</v>
      </c>
      <c r="AU300" s="26">
        <f>AV300+AW300</f>
        <v>0</v>
      </c>
      <c r="AV300" s="26">
        <f>G300*AN300</f>
        <v>0</v>
      </c>
      <c r="AW300" s="26">
        <f>G300*AO300</f>
        <v>0</v>
      </c>
      <c r="AX300" s="29" t="s">
        <v>907</v>
      </c>
      <c r="AY300" s="29" t="s">
        <v>929</v>
      </c>
      <c r="AZ300" s="24" t="s">
        <v>937</v>
      </c>
      <c r="BB300" s="26">
        <f>AV300+AW300</f>
        <v>0</v>
      </c>
      <c r="BC300" s="26">
        <f>H300/(100-BD300)*100</f>
        <v>0</v>
      </c>
      <c r="BD300" s="26">
        <v>0</v>
      </c>
      <c r="BE300" s="26">
        <f>M300</f>
        <v>0</v>
      </c>
      <c r="BG300" s="16">
        <f>G300*AN300</f>
        <v>0</v>
      </c>
      <c r="BH300" s="16">
        <f>G300*AO300</f>
        <v>0</v>
      </c>
      <c r="BI300" s="16">
        <f>G300*H300</f>
        <v>0</v>
      </c>
      <c r="BJ300" s="16" t="s">
        <v>945</v>
      </c>
      <c r="BK300" s="26">
        <v>97</v>
      </c>
    </row>
    <row r="301" spans="1:14" s="58" customFormat="1" ht="12.75">
      <c r="A301" s="57"/>
      <c r="C301" s="59" t="s">
        <v>991</v>
      </c>
      <c r="D301" s="232" t="s">
        <v>1091</v>
      </c>
      <c r="E301" s="233"/>
      <c r="F301" s="233"/>
      <c r="G301" s="233"/>
      <c r="H301" s="233"/>
      <c r="I301" s="233"/>
      <c r="J301" s="233"/>
      <c r="K301" s="233"/>
      <c r="L301" s="233"/>
      <c r="M301" s="233"/>
      <c r="N301" s="57"/>
    </row>
    <row r="302" spans="1:46" ht="12.75">
      <c r="A302" s="3"/>
      <c r="B302" s="11" t="s">
        <v>273</v>
      </c>
      <c r="C302" s="52" t="s">
        <v>439</v>
      </c>
      <c r="D302" s="228" t="s">
        <v>723</v>
      </c>
      <c r="E302" s="229"/>
      <c r="F302" s="61" t="s">
        <v>6</v>
      </c>
      <c r="G302" s="61" t="s">
        <v>6</v>
      </c>
      <c r="H302" s="61" t="s">
        <v>6</v>
      </c>
      <c r="I302" s="31">
        <f>SUM(I303:I307)</f>
        <v>0</v>
      </c>
      <c r="J302" s="31">
        <f>SUM(J303:J307)</f>
        <v>0</v>
      </c>
      <c r="K302" s="128">
        <f>SUM(K303:K307)</f>
        <v>0</v>
      </c>
      <c r="L302" s="24"/>
      <c r="M302" s="31">
        <f>SUM(M303:M307)</f>
        <v>0</v>
      </c>
      <c r="N302" s="5"/>
      <c r="AH302" s="24" t="s">
        <v>273</v>
      </c>
      <c r="AR302" s="31">
        <f>SUM(AI303:AI307)</f>
        <v>0</v>
      </c>
      <c r="AS302" s="31">
        <f>SUM(AJ303:AJ307)</f>
        <v>0</v>
      </c>
      <c r="AT302" s="31">
        <f>SUM(AK303:AK307)</f>
        <v>0</v>
      </c>
    </row>
    <row r="303" spans="1:63" ht="12.75">
      <c r="A303" s="4" t="s">
        <v>164</v>
      </c>
      <c r="B303" s="12" t="s">
        <v>273</v>
      </c>
      <c r="C303" s="53" t="s">
        <v>440</v>
      </c>
      <c r="D303" s="230" t="s">
        <v>724</v>
      </c>
      <c r="E303" s="231"/>
      <c r="F303" s="62" t="s">
        <v>851</v>
      </c>
      <c r="G303" s="104">
        <v>62.48926</v>
      </c>
      <c r="H303" s="104"/>
      <c r="I303" s="16">
        <f>G303*AN303</f>
        <v>0</v>
      </c>
      <c r="J303" s="16">
        <f>G303*AO303</f>
        <v>0</v>
      </c>
      <c r="K303" s="126">
        <f>G303*H303</f>
        <v>0</v>
      </c>
      <c r="L303" s="16">
        <v>0</v>
      </c>
      <c r="M303" s="16">
        <f>G303*L303</f>
        <v>0</v>
      </c>
      <c r="N303" s="5"/>
      <c r="Y303" s="26">
        <f>IF(AP303="5",BI303,0)</f>
        <v>0</v>
      </c>
      <c r="AA303" s="26">
        <f>IF(AP303="1",BG303,0)</f>
        <v>0</v>
      </c>
      <c r="AB303" s="26">
        <f>IF(AP303="1",BH303,0)</f>
        <v>0</v>
      </c>
      <c r="AC303" s="26">
        <f>IF(AP303="7",BG303,0)</f>
        <v>0</v>
      </c>
      <c r="AD303" s="26">
        <f>IF(AP303="7",BH303,0)</f>
        <v>0</v>
      </c>
      <c r="AE303" s="26">
        <f>IF(AP303="2",BG303,0)</f>
        <v>0</v>
      </c>
      <c r="AF303" s="26">
        <f>IF(AP303="2",BH303,0)</f>
        <v>0</v>
      </c>
      <c r="AG303" s="26">
        <f>IF(AP303="0",BI303,0)</f>
        <v>0</v>
      </c>
      <c r="AH303" s="24" t="s">
        <v>273</v>
      </c>
      <c r="AI303" s="16">
        <f>IF(AM303=0,K303,0)</f>
        <v>0</v>
      </c>
      <c r="AJ303" s="16">
        <f>IF(AM303=15,K303,0)</f>
        <v>0</v>
      </c>
      <c r="AK303" s="16">
        <f>IF(AM303=21,K303,0)</f>
        <v>0</v>
      </c>
      <c r="AM303" s="26">
        <v>15</v>
      </c>
      <c r="AN303" s="26">
        <f>H303*0</f>
        <v>0</v>
      </c>
      <c r="AO303" s="26">
        <f>H303*(1-0)</f>
        <v>0</v>
      </c>
      <c r="AP303" s="27" t="s">
        <v>11</v>
      </c>
      <c r="AU303" s="26">
        <f>AV303+AW303</f>
        <v>0</v>
      </c>
      <c r="AV303" s="26">
        <f>G303*AN303</f>
        <v>0</v>
      </c>
      <c r="AW303" s="26">
        <f>G303*AO303</f>
        <v>0</v>
      </c>
      <c r="AX303" s="29" t="s">
        <v>908</v>
      </c>
      <c r="AY303" s="29" t="s">
        <v>929</v>
      </c>
      <c r="AZ303" s="24" t="s">
        <v>937</v>
      </c>
      <c r="BB303" s="26">
        <f>AV303+AW303</f>
        <v>0</v>
      </c>
      <c r="BC303" s="26">
        <f>H303/(100-BD303)*100</f>
        <v>0</v>
      </c>
      <c r="BD303" s="26">
        <v>0</v>
      </c>
      <c r="BE303" s="26">
        <f>M303</f>
        <v>0</v>
      </c>
      <c r="BG303" s="16">
        <f>G303*AN303</f>
        <v>0</v>
      </c>
      <c r="BH303" s="16">
        <f>G303*AO303</f>
        <v>0</v>
      </c>
      <c r="BI303" s="16">
        <f>G303*H303</f>
        <v>0</v>
      </c>
      <c r="BJ303" s="16" t="s">
        <v>945</v>
      </c>
      <c r="BK303" s="26" t="s">
        <v>439</v>
      </c>
    </row>
    <row r="304" spans="1:14" s="58" customFormat="1" ht="12.75">
      <c r="A304" s="57"/>
      <c r="C304" s="59" t="s">
        <v>991</v>
      </c>
      <c r="D304" s="232" t="s">
        <v>1092</v>
      </c>
      <c r="E304" s="233"/>
      <c r="F304" s="233"/>
      <c r="G304" s="233"/>
      <c r="H304" s="233"/>
      <c r="I304" s="233"/>
      <c r="J304" s="233"/>
      <c r="K304" s="233"/>
      <c r="L304" s="233"/>
      <c r="M304" s="233"/>
      <c r="N304" s="57"/>
    </row>
    <row r="305" spans="1:63" ht="12.75">
      <c r="A305" s="4" t="s">
        <v>165</v>
      </c>
      <c r="B305" s="12" t="s">
        <v>273</v>
      </c>
      <c r="C305" s="53" t="s">
        <v>441</v>
      </c>
      <c r="D305" s="230" t="s">
        <v>725</v>
      </c>
      <c r="E305" s="231"/>
      <c r="F305" s="62" t="s">
        <v>851</v>
      </c>
      <c r="G305" s="104">
        <v>187.46778</v>
      </c>
      <c r="H305" s="104"/>
      <c r="I305" s="16">
        <f>G305*AN305</f>
        <v>0</v>
      </c>
      <c r="J305" s="16">
        <f>G305*AO305</f>
        <v>0</v>
      </c>
      <c r="K305" s="126">
        <f>G305*H305</f>
        <v>0</v>
      </c>
      <c r="L305" s="16">
        <v>0</v>
      </c>
      <c r="M305" s="16">
        <f>G305*L305</f>
        <v>0</v>
      </c>
      <c r="N305" s="5"/>
      <c r="Y305" s="26">
        <f>IF(AP305="5",BI305,0)</f>
        <v>0</v>
      </c>
      <c r="AA305" s="26">
        <f>IF(AP305="1",BG305,0)</f>
        <v>0</v>
      </c>
      <c r="AB305" s="26">
        <f>IF(AP305="1",BH305,0)</f>
        <v>0</v>
      </c>
      <c r="AC305" s="26">
        <f>IF(AP305="7",BG305,0)</f>
        <v>0</v>
      </c>
      <c r="AD305" s="26">
        <f>IF(AP305="7",BH305,0)</f>
        <v>0</v>
      </c>
      <c r="AE305" s="26">
        <f>IF(AP305="2",BG305,0)</f>
        <v>0</v>
      </c>
      <c r="AF305" s="26">
        <f>IF(AP305="2",BH305,0)</f>
        <v>0</v>
      </c>
      <c r="AG305" s="26">
        <f>IF(AP305="0",BI305,0)</f>
        <v>0</v>
      </c>
      <c r="AH305" s="24" t="s">
        <v>273</v>
      </c>
      <c r="AI305" s="16">
        <f>IF(AM305=0,K305,0)</f>
        <v>0</v>
      </c>
      <c r="AJ305" s="16">
        <f>IF(AM305=15,K305,0)</f>
        <v>0</v>
      </c>
      <c r="AK305" s="16">
        <f>IF(AM305=21,K305,0)</f>
        <v>0</v>
      </c>
      <c r="AM305" s="26">
        <v>15</v>
      </c>
      <c r="AN305" s="26">
        <f>H305*0</f>
        <v>0</v>
      </c>
      <c r="AO305" s="26">
        <f>H305*(1-0)</f>
        <v>0</v>
      </c>
      <c r="AP305" s="27" t="s">
        <v>11</v>
      </c>
      <c r="AU305" s="26">
        <f>AV305+AW305</f>
        <v>0</v>
      </c>
      <c r="AV305" s="26">
        <f>G305*AN305</f>
        <v>0</v>
      </c>
      <c r="AW305" s="26">
        <f>G305*AO305</f>
        <v>0</v>
      </c>
      <c r="AX305" s="29" t="s">
        <v>908</v>
      </c>
      <c r="AY305" s="29" t="s">
        <v>929</v>
      </c>
      <c r="AZ305" s="24" t="s">
        <v>937</v>
      </c>
      <c r="BB305" s="26">
        <f>AV305+AW305</f>
        <v>0</v>
      </c>
      <c r="BC305" s="26">
        <f>H305/(100-BD305)*100</f>
        <v>0</v>
      </c>
      <c r="BD305" s="26">
        <v>0</v>
      </c>
      <c r="BE305" s="26">
        <f>M305</f>
        <v>0</v>
      </c>
      <c r="BG305" s="16">
        <f>G305*AN305</f>
        <v>0</v>
      </c>
      <c r="BH305" s="16">
        <f>G305*AO305</f>
        <v>0</v>
      </c>
      <c r="BI305" s="16">
        <f>G305*H305</f>
        <v>0</v>
      </c>
      <c r="BJ305" s="16" t="s">
        <v>945</v>
      </c>
      <c r="BK305" s="26" t="s">
        <v>439</v>
      </c>
    </row>
    <row r="306" spans="1:14" s="58" customFormat="1" ht="12.75">
      <c r="A306" s="57"/>
      <c r="C306" s="59" t="s">
        <v>991</v>
      </c>
      <c r="D306" s="232" t="s">
        <v>1092</v>
      </c>
      <c r="E306" s="233"/>
      <c r="F306" s="233"/>
      <c r="G306" s="233"/>
      <c r="H306" s="233"/>
      <c r="I306" s="233"/>
      <c r="J306" s="233"/>
      <c r="K306" s="233"/>
      <c r="L306" s="233"/>
      <c r="M306" s="233"/>
      <c r="N306" s="57"/>
    </row>
    <row r="307" spans="1:63" ht="12.75">
      <c r="A307" s="4" t="s">
        <v>166</v>
      </c>
      <c r="B307" s="12" t="s">
        <v>273</v>
      </c>
      <c r="C307" s="53" t="s">
        <v>442</v>
      </c>
      <c r="D307" s="230" t="s">
        <v>726</v>
      </c>
      <c r="E307" s="231"/>
      <c r="F307" s="62" t="s">
        <v>851</v>
      </c>
      <c r="G307" s="104">
        <v>62.48926</v>
      </c>
      <c r="H307" s="104"/>
      <c r="I307" s="16">
        <f>G307*AN307</f>
        <v>0</v>
      </c>
      <c r="J307" s="16">
        <f>G307*AO307</f>
        <v>0</v>
      </c>
      <c r="K307" s="126">
        <f>G307*H307</f>
        <v>0</v>
      </c>
      <c r="L307" s="16">
        <v>0</v>
      </c>
      <c r="M307" s="16">
        <f>G307*L307</f>
        <v>0</v>
      </c>
      <c r="N307" s="5"/>
      <c r="Y307" s="26">
        <f>IF(AP307="5",BI307,0)</f>
        <v>0</v>
      </c>
      <c r="AA307" s="26">
        <f>IF(AP307="1",BG307,0)</f>
        <v>0</v>
      </c>
      <c r="AB307" s="26">
        <f>IF(AP307="1",BH307,0)</f>
        <v>0</v>
      </c>
      <c r="AC307" s="26">
        <f>IF(AP307="7",BG307,0)</f>
        <v>0</v>
      </c>
      <c r="AD307" s="26">
        <f>IF(AP307="7",BH307,0)</f>
        <v>0</v>
      </c>
      <c r="AE307" s="26">
        <f>IF(AP307="2",BG307,0)</f>
        <v>0</v>
      </c>
      <c r="AF307" s="26">
        <f>IF(AP307="2",BH307,0)</f>
        <v>0</v>
      </c>
      <c r="AG307" s="26">
        <f>IF(AP307="0",BI307,0)</f>
        <v>0</v>
      </c>
      <c r="AH307" s="24" t="s">
        <v>273</v>
      </c>
      <c r="AI307" s="16">
        <f>IF(AM307=0,K307,0)</f>
        <v>0</v>
      </c>
      <c r="AJ307" s="16">
        <f>IF(AM307=15,K307,0)</f>
        <v>0</v>
      </c>
      <c r="AK307" s="16">
        <f>IF(AM307=21,K307,0)</f>
        <v>0</v>
      </c>
      <c r="AM307" s="26">
        <v>15</v>
      </c>
      <c r="AN307" s="26">
        <f>H307*0</f>
        <v>0</v>
      </c>
      <c r="AO307" s="26">
        <f>H307*(1-0)</f>
        <v>0</v>
      </c>
      <c r="AP307" s="27" t="s">
        <v>11</v>
      </c>
      <c r="AU307" s="26">
        <f>AV307+AW307</f>
        <v>0</v>
      </c>
      <c r="AV307" s="26">
        <f>G307*AN307</f>
        <v>0</v>
      </c>
      <c r="AW307" s="26">
        <f>G307*AO307</f>
        <v>0</v>
      </c>
      <c r="AX307" s="29" t="s">
        <v>908</v>
      </c>
      <c r="AY307" s="29" t="s">
        <v>929</v>
      </c>
      <c r="AZ307" s="24" t="s">
        <v>937</v>
      </c>
      <c r="BB307" s="26">
        <f>AV307+AW307</f>
        <v>0</v>
      </c>
      <c r="BC307" s="26">
        <f>H307/(100-BD307)*100</f>
        <v>0</v>
      </c>
      <c r="BD307" s="26">
        <v>0</v>
      </c>
      <c r="BE307" s="26">
        <f>M307</f>
        <v>0</v>
      </c>
      <c r="BG307" s="16">
        <f>G307*AN307</f>
        <v>0</v>
      </c>
      <c r="BH307" s="16">
        <f>G307*AO307</f>
        <v>0</v>
      </c>
      <c r="BI307" s="16">
        <f>G307*H307</f>
        <v>0</v>
      </c>
      <c r="BJ307" s="16" t="s">
        <v>945</v>
      </c>
      <c r="BK307" s="26" t="s">
        <v>439</v>
      </c>
    </row>
    <row r="308" spans="1:46" ht="12.75">
      <c r="A308" s="3"/>
      <c r="B308" s="11" t="s">
        <v>273</v>
      </c>
      <c r="C308" s="52" t="s">
        <v>443</v>
      </c>
      <c r="D308" s="228" t="s">
        <v>727</v>
      </c>
      <c r="E308" s="229"/>
      <c r="F308" s="61" t="s">
        <v>6</v>
      </c>
      <c r="G308" s="61" t="s">
        <v>6</v>
      </c>
      <c r="H308" s="61" t="s">
        <v>6</v>
      </c>
      <c r="I308" s="31">
        <f>SUM(I309:I309)</f>
        <v>0</v>
      </c>
      <c r="J308" s="31">
        <f>SUM(J309:J309)</f>
        <v>0</v>
      </c>
      <c r="K308" s="128">
        <f>SUM(K309:K309)</f>
        <v>0</v>
      </c>
      <c r="L308" s="24"/>
      <c r="M308" s="31">
        <f>SUM(M309:M309)</f>
        <v>0</v>
      </c>
      <c r="N308" s="5"/>
      <c r="AH308" s="24" t="s">
        <v>273</v>
      </c>
      <c r="AR308" s="31">
        <f>SUM(AI309:AI309)</f>
        <v>0</v>
      </c>
      <c r="AS308" s="31">
        <f>SUM(AJ309:AJ309)</f>
        <v>0</v>
      </c>
      <c r="AT308" s="31">
        <f>SUM(AK309:AK309)</f>
        <v>0</v>
      </c>
    </row>
    <row r="309" spans="1:63" ht="12.75">
      <c r="A309" s="4" t="s">
        <v>167</v>
      </c>
      <c r="B309" s="12" t="s">
        <v>273</v>
      </c>
      <c r="C309" s="53" t="s">
        <v>444</v>
      </c>
      <c r="D309" s="230" t="s">
        <v>728</v>
      </c>
      <c r="E309" s="231"/>
      <c r="F309" s="62" t="s">
        <v>846</v>
      </c>
      <c r="G309" s="104">
        <v>81</v>
      </c>
      <c r="H309" s="104"/>
      <c r="I309" s="16">
        <f>G309*AN309</f>
        <v>0</v>
      </c>
      <c r="J309" s="16">
        <f>G309*AO309</f>
        <v>0</v>
      </c>
      <c r="K309" s="126">
        <f>G309*H309</f>
        <v>0</v>
      </c>
      <c r="L309" s="16">
        <v>0</v>
      </c>
      <c r="M309" s="16">
        <f>G309*L309</f>
        <v>0</v>
      </c>
      <c r="N309" s="5"/>
      <c r="Y309" s="26">
        <f>IF(AP309="5",BI309,0)</f>
        <v>0</v>
      </c>
      <c r="AA309" s="26">
        <f>IF(AP309="1",BG309,0)</f>
        <v>0</v>
      </c>
      <c r="AB309" s="26">
        <f>IF(AP309="1",BH309,0)</f>
        <v>0</v>
      </c>
      <c r="AC309" s="26">
        <f>IF(AP309="7",BG309,0)</f>
        <v>0</v>
      </c>
      <c r="AD309" s="26">
        <f>IF(AP309="7",BH309,0)</f>
        <v>0</v>
      </c>
      <c r="AE309" s="26">
        <f>IF(AP309="2",BG309,0)</f>
        <v>0</v>
      </c>
      <c r="AF309" s="26">
        <f>IF(AP309="2",BH309,0)</f>
        <v>0</v>
      </c>
      <c r="AG309" s="26">
        <f>IF(AP309="0",BI309,0)</f>
        <v>0</v>
      </c>
      <c r="AH309" s="24" t="s">
        <v>273</v>
      </c>
      <c r="AI309" s="16">
        <f>IF(AM309=0,K309,0)</f>
        <v>0</v>
      </c>
      <c r="AJ309" s="16">
        <f>IF(AM309=15,K309,0)</f>
        <v>0</v>
      </c>
      <c r="AK309" s="16">
        <f>IF(AM309=21,K309,0)</f>
        <v>0</v>
      </c>
      <c r="AM309" s="26">
        <v>15</v>
      </c>
      <c r="AN309" s="26">
        <f>H309*1</f>
        <v>0</v>
      </c>
      <c r="AO309" s="26">
        <f>H309*(1-1)</f>
        <v>0</v>
      </c>
      <c r="AP309" s="27" t="s">
        <v>8</v>
      </c>
      <c r="AU309" s="26">
        <f>AV309+AW309</f>
        <v>0</v>
      </c>
      <c r="AV309" s="26">
        <f>G309*AN309</f>
        <v>0</v>
      </c>
      <c r="AW309" s="26">
        <f>G309*AO309</f>
        <v>0</v>
      </c>
      <c r="AX309" s="29" t="s">
        <v>909</v>
      </c>
      <c r="AY309" s="29" t="s">
        <v>929</v>
      </c>
      <c r="AZ309" s="24" t="s">
        <v>937</v>
      </c>
      <c r="BB309" s="26">
        <f>AV309+AW309</f>
        <v>0</v>
      </c>
      <c r="BC309" s="26">
        <f>H309/(100-BD309)*100</f>
        <v>0</v>
      </c>
      <c r="BD309" s="26">
        <v>0</v>
      </c>
      <c r="BE309" s="26">
        <f>M309</f>
        <v>0</v>
      </c>
      <c r="BG309" s="16">
        <f>G309*AN309</f>
        <v>0</v>
      </c>
      <c r="BH309" s="16">
        <f>G309*AO309</f>
        <v>0</v>
      </c>
      <c r="BI309" s="16">
        <f>G309*H309</f>
        <v>0</v>
      </c>
      <c r="BJ309" s="16" t="s">
        <v>945</v>
      </c>
      <c r="BK309" s="26" t="s">
        <v>443</v>
      </c>
    </row>
    <row r="310" spans="1:14" s="58" customFormat="1" ht="12.75">
      <c r="A310" s="57"/>
      <c r="C310" s="59" t="s">
        <v>991</v>
      </c>
      <c r="D310" s="232" t="s">
        <v>1093</v>
      </c>
      <c r="E310" s="233"/>
      <c r="F310" s="233"/>
      <c r="G310" s="233"/>
      <c r="H310" s="233"/>
      <c r="I310" s="233"/>
      <c r="J310" s="233"/>
      <c r="K310" s="233"/>
      <c r="L310" s="233"/>
      <c r="M310" s="233"/>
      <c r="N310" s="57"/>
    </row>
    <row r="311" spans="1:46" ht="12.75">
      <c r="A311" s="3"/>
      <c r="B311" s="11" t="s">
        <v>273</v>
      </c>
      <c r="C311" s="52" t="s">
        <v>445</v>
      </c>
      <c r="D311" s="228" t="s">
        <v>729</v>
      </c>
      <c r="E311" s="229"/>
      <c r="F311" s="61" t="s">
        <v>6</v>
      </c>
      <c r="G311" s="61" t="s">
        <v>6</v>
      </c>
      <c r="H311" s="61" t="s">
        <v>6</v>
      </c>
      <c r="I311" s="31">
        <f>SUM(I312:I315)</f>
        <v>0</v>
      </c>
      <c r="J311" s="31">
        <f>SUM(J312:J315)</f>
        <v>0</v>
      </c>
      <c r="K311" s="128">
        <f>SUM(K312:K315)</f>
        <v>0</v>
      </c>
      <c r="L311" s="24"/>
      <c r="M311" s="31">
        <f>SUM(M312:M315)</f>
        <v>0</v>
      </c>
      <c r="N311" s="5"/>
      <c r="AH311" s="24" t="s">
        <v>273</v>
      </c>
      <c r="AR311" s="31">
        <f>SUM(AI312:AI315)</f>
        <v>0</v>
      </c>
      <c r="AS311" s="31">
        <f>SUM(AJ312:AJ315)</f>
        <v>0</v>
      </c>
      <c r="AT311" s="31">
        <f>SUM(AK312:AK315)</f>
        <v>0</v>
      </c>
    </row>
    <row r="312" spans="1:63" ht="12.75">
      <c r="A312" s="4" t="s">
        <v>168</v>
      </c>
      <c r="B312" s="12" t="s">
        <v>273</v>
      </c>
      <c r="C312" s="53" t="s">
        <v>446</v>
      </c>
      <c r="D312" s="230" t="s">
        <v>730</v>
      </c>
      <c r="E312" s="231"/>
      <c r="F312" s="62" t="s">
        <v>849</v>
      </c>
      <c r="G312" s="104">
        <v>2</v>
      </c>
      <c r="H312" s="104"/>
      <c r="I312" s="16">
        <f>G312*AN312</f>
        <v>0</v>
      </c>
      <c r="J312" s="16">
        <f>G312*AO312</f>
        <v>0</v>
      </c>
      <c r="K312" s="126">
        <f>G312*H312</f>
        <v>0</v>
      </c>
      <c r="L312" s="16">
        <v>0</v>
      </c>
      <c r="M312" s="16">
        <f>G312*L312</f>
        <v>0</v>
      </c>
      <c r="N312" s="5"/>
      <c r="Y312" s="26">
        <f>IF(AP312="5",BI312,0)</f>
        <v>0</v>
      </c>
      <c r="AA312" s="26">
        <f>IF(AP312="1",BG312,0)</f>
        <v>0</v>
      </c>
      <c r="AB312" s="26">
        <f>IF(AP312="1",BH312,0)</f>
        <v>0</v>
      </c>
      <c r="AC312" s="26">
        <f>IF(AP312="7",BG312,0)</f>
        <v>0</v>
      </c>
      <c r="AD312" s="26">
        <f>IF(AP312="7",BH312,0)</f>
        <v>0</v>
      </c>
      <c r="AE312" s="26">
        <f>IF(AP312="2",BG312,0)</f>
        <v>0</v>
      </c>
      <c r="AF312" s="26">
        <f>IF(AP312="2",BH312,0)</f>
        <v>0</v>
      </c>
      <c r="AG312" s="26">
        <f>IF(AP312="0",BI312,0)</f>
        <v>0</v>
      </c>
      <c r="AH312" s="24" t="s">
        <v>273</v>
      </c>
      <c r="AI312" s="16">
        <f>IF(AM312=0,K312,0)</f>
        <v>0</v>
      </c>
      <c r="AJ312" s="16">
        <f>IF(AM312=15,K312,0)</f>
        <v>0</v>
      </c>
      <c r="AK312" s="16">
        <f>IF(AM312=21,K312,0)</f>
        <v>0</v>
      </c>
      <c r="AM312" s="26">
        <v>15</v>
      </c>
      <c r="AN312" s="26">
        <f>H312*0</f>
        <v>0</v>
      </c>
      <c r="AO312" s="26">
        <f>H312*(1-0)</f>
        <v>0</v>
      </c>
      <c r="AP312" s="27" t="s">
        <v>8</v>
      </c>
      <c r="AU312" s="26">
        <f>AV312+AW312</f>
        <v>0</v>
      </c>
      <c r="AV312" s="26">
        <f>G312*AN312</f>
        <v>0</v>
      </c>
      <c r="AW312" s="26">
        <f>G312*AO312</f>
        <v>0</v>
      </c>
      <c r="AX312" s="29" t="s">
        <v>910</v>
      </c>
      <c r="AY312" s="29" t="s">
        <v>929</v>
      </c>
      <c r="AZ312" s="24" t="s">
        <v>937</v>
      </c>
      <c r="BB312" s="26">
        <f>AV312+AW312</f>
        <v>0</v>
      </c>
      <c r="BC312" s="26">
        <f>H312/(100-BD312)*100</f>
        <v>0</v>
      </c>
      <c r="BD312" s="26">
        <v>0</v>
      </c>
      <c r="BE312" s="26">
        <f>M312</f>
        <v>0</v>
      </c>
      <c r="BG312" s="16">
        <f>G312*AN312</f>
        <v>0</v>
      </c>
      <c r="BH312" s="16">
        <f>G312*AO312</f>
        <v>0</v>
      </c>
      <c r="BI312" s="16">
        <f>G312*H312</f>
        <v>0</v>
      </c>
      <c r="BJ312" s="16" t="s">
        <v>945</v>
      </c>
      <c r="BK312" s="26" t="s">
        <v>445</v>
      </c>
    </row>
    <row r="313" spans="1:63" ht="12.75">
      <c r="A313" s="4" t="s">
        <v>169</v>
      </c>
      <c r="B313" s="12" t="s">
        <v>273</v>
      </c>
      <c r="C313" s="53" t="s">
        <v>447</v>
      </c>
      <c r="D313" s="230" t="s">
        <v>731</v>
      </c>
      <c r="E313" s="231"/>
      <c r="F313" s="62" t="s">
        <v>849</v>
      </c>
      <c r="G313" s="104">
        <v>7</v>
      </c>
      <c r="H313" s="104"/>
      <c r="I313" s="16">
        <f>G313*AN313</f>
        <v>0</v>
      </c>
      <c r="J313" s="16">
        <f>G313*AO313</f>
        <v>0</v>
      </c>
      <c r="K313" s="126">
        <f>G313*H313</f>
        <v>0</v>
      </c>
      <c r="L313" s="16">
        <v>0</v>
      </c>
      <c r="M313" s="16">
        <f>G313*L313</f>
        <v>0</v>
      </c>
      <c r="N313" s="5"/>
      <c r="Y313" s="26">
        <f>IF(AP313="5",BI313,0)</f>
        <v>0</v>
      </c>
      <c r="AA313" s="26">
        <f>IF(AP313="1",BG313,0)</f>
        <v>0</v>
      </c>
      <c r="AB313" s="26">
        <f>IF(AP313="1",BH313,0)</f>
        <v>0</v>
      </c>
      <c r="AC313" s="26">
        <f>IF(AP313="7",BG313,0)</f>
        <v>0</v>
      </c>
      <c r="AD313" s="26">
        <f>IF(AP313="7",BH313,0)</f>
        <v>0</v>
      </c>
      <c r="AE313" s="26">
        <f>IF(AP313="2",BG313,0)</f>
        <v>0</v>
      </c>
      <c r="AF313" s="26">
        <f>IF(AP313="2",BH313,0)</f>
        <v>0</v>
      </c>
      <c r="AG313" s="26">
        <f>IF(AP313="0",BI313,0)</f>
        <v>0</v>
      </c>
      <c r="AH313" s="24" t="s">
        <v>273</v>
      </c>
      <c r="AI313" s="16">
        <f>IF(AM313=0,K313,0)</f>
        <v>0</v>
      </c>
      <c r="AJ313" s="16">
        <f>IF(AM313=15,K313,0)</f>
        <v>0</v>
      </c>
      <c r="AK313" s="16">
        <f>IF(AM313=21,K313,0)</f>
        <v>0</v>
      </c>
      <c r="AM313" s="26">
        <v>15</v>
      </c>
      <c r="AN313" s="26">
        <f>H313*0</f>
        <v>0</v>
      </c>
      <c r="AO313" s="26">
        <f>H313*(1-0)</f>
        <v>0</v>
      </c>
      <c r="AP313" s="27" t="s">
        <v>8</v>
      </c>
      <c r="AU313" s="26">
        <f>AV313+AW313</f>
        <v>0</v>
      </c>
      <c r="AV313" s="26">
        <f>G313*AN313</f>
        <v>0</v>
      </c>
      <c r="AW313" s="26">
        <f>G313*AO313</f>
        <v>0</v>
      </c>
      <c r="AX313" s="29" t="s">
        <v>910</v>
      </c>
      <c r="AY313" s="29" t="s">
        <v>929</v>
      </c>
      <c r="AZ313" s="24" t="s">
        <v>937</v>
      </c>
      <c r="BB313" s="26">
        <f>AV313+AW313</f>
        <v>0</v>
      </c>
      <c r="BC313" s="26">
        <f>H313/(100-BD313)*100</f>
        <v>0</v>
      </c>
      <c r="BD313" s="26">
        <v>0</v>
      </c>
      <c r="BE313" s="26">
        <f>M313</f>
        <v>0</v>
      </c>
      <c r="BG313" s="16">
        <f>G313*AN313</f>
        <v>0</v>
      </c>
      <c r="BH313" s="16">
        <f>G313*AO313</f>
        <v>0</v>
      </c>
      <c r="BI313" s="16">
        <f>G313*H313</f>
        <v>0</v>
      </c>
      <c r="BJ313" s="16" t="s">
        <v>945</v>
      </c>
      <c r="BK313" s="26" t="s">
        <v>445</v>
      </c>
    </row>
    <row r="314" spans="1:63" ht="12.75">
      <c r="A314" s="4" t="s">
        <v>170</v>
      </c>
      <c r="B314" s="12" t="s">
        <v>273</v>
      </c>
      <c r="C314" s="53" t="s">
        <v>448</v>
      </c>
      <c r="D314" s="230" t="s">
        <v>732</v>
      </c>
      <c r="E314" s="231"/>
      <c r="F314" s="62" t="s">
        <v>849</v>
      </c>
      <c r="G314" s="104">
        <v>2</v>
      </c>
      <c r="H314" s="104"/>
      <c r="I314" s="16">
        <f>G314*AN314</f>
        <v>0</v>
      </c>
      <c r="J314" s="16">
        <f>G314*AO314</f>
        <v>0</v>
      </c>
      <c r="K314" s="126">
        <f>G314*H314</f>
        <v>0</v>
      </c>
      <c r="L314" s="16">
        <v>0</v>
      </c>
      <c r="M314" s="16">
        <f>G314*L314</f>
        <v>0</v>
      </c>
      <c r="N314" s="5"/>
      <c r="Y314" s="26">
        <f>IF(AP314="5",BI314,0)</f>
        <v>0</v>
      </c>
      <c r="AA314" s="26">
        <f>IF(AP314="1",BG314,0)</f>
        <v>0</v>
      </c>
      <c r="AB314" s="26">
        <f>IF(AP314="1",BH314,0)</f>
        <v>0</v>
      </c>
      <c r="AC314" s="26">
        <f>IF(AP314="7",BG314,0)</f>
        <v>0</v>
      </c>
      <c r="AD314" s="26">
        <f>IF(AP314="7",BH314,0)</f>
        <v>0</v>
      </c>
      <c r="AE314" s="26">
        <f>IF(AP314="2",BG314,0)</f>
        <v>0</v>
      </c>
      <c r="AF314" s="26">
        <f>IF(AP314="2",BH314,0)</f>
        <v>0</v>
      </c>
      <c r="AG314" s="26">
        <f>IF(AP314="0",BI314,0)</f>
        <v>0</v>
      </c>
      <c r="AH314" s="24" t="s">
        <v>273</v>
      </c>
      <c r="AI314" s="16">
        <f>IF(AM314=0,K314,0)</f>
        <v>0</v>
      </c>
      <c r="AJ314" s="16">
        <f>IF(AM314=15,K314,0)</f>
        <v>0</v>
      </c>
      <c r="AK314" s="16">
        <f>IF(AM314=21,K314,0)</f>
        <v>0</v>
      </c>
      <c r="AM314" s="26">
        <v>15</v>
      </c>
      <c r="AN314" s="26">
        <f>H314*0</f>
        <v>0</v>
      </c>
      <c r="AO314" s="26">
        <f>H314*(1-0)</f>
        <v>0</v>
      </c>
      <c r="AP314" s="27" t="s">
        <v>8</v>
      </c>
      <c r="AU314" s="26">
        <f>AV314+AW314</f>
        <v>0</v>
      </c>
      <c r="AV314" s="26">
        <f>G314*AN314</f>
        <v>0</v>
      </c>
      <c r="AW314" s="26">
        <f>G314*AO314</f>
        <v>0</v>
      </c>
      <c r="AX314" s="29" t="s">
        <v>910</v>
      </c>
      <c r="AY314" s="29" t="s">
        <v>929</v>
      </c>
      <c r="AZ314" s="24" t="s">
        <v>937</v>
      </c>
      <c r="BB314" s="26">
        <f>AV314+AW314</f>
        <v>0</v>
      </c>
      <c r="BC314" s="26">
        <f>H314/(100-BD314)*100</f>
        <v>0</v>
      </c>
      <c r="BD314" s="26">
        <v>0</v>
      </c>
      <c r="BE314" s="26">
        <f>M314</f>
        <v>0</v>
      </c>
      <c r="BG314" s="16">
        <f>G314*AN314</f>
        <v>0</v>
      </c>
      <c r="BH314" s="16">
        <f>G314*AO314</f>
        <v>0</v>
      </c>
      <c r="BI314" s="16">
        <f>G314*H314</f>
        <v>0</v>
      </c>
      <c r="BJ314" s="16" t="s">
        <v>945</v>
      </c>
      <c r="BK314" s="26" t="s">
        <v>445</v>
      </c>
    </row>
    <row r="315" spans="1:63" ht="12.75">
      <c r="A315" s="4" t="s">
        <v>171</v>
      </c>
      <c r="B315" s="12" t="s">
        <v>273</v>
      </c>
      <c r="C315" s="53" t="s">
        <v>449</v>
      </c>
      <c r="D315" s="230" t="s">
        <v>733</v>
      </c>
      <c r="E315" s="231"/>
      <c r="F315" s="62" t="s">
        <v>849</v>
      </c>
      <c r="G315" s="104">
        <v>7</v>
      </c>
      <c r="H315" s="104"/>
      <c r="I315" s="16">
        <f>G315*AN315</f>
        <v>0</v>
      </c>
      <c r="J315" s="16">
        <f>G315*AO315</f>
        <v>0</v>
      </c>
      <c r="K315" s="126">
        <f>G315*H315</f>
        <v>0</v>
      </c>
      <c r="L315" s="16">
        <v>0</v>
      </c>
      <c r="M315" s="16">
        <f>G315*L315</f>
        <v>0</v>
      </c>
      <c r="N315" s="5"/>
      <c r="Y315" s="26">
        <f>IF(AP315="5",BI315,0)</f>
        <v>0</v>
      </c>
      <c r="AA315" s="26">
        <f>IF(AP315="1",BG315,0)</f>
        <v>0</v>
      </c>
      <c r="AB315" s="26">
        <f>IF(AP315="1",BH315,0)</f>
        <v>0</v>
      </c>
      <c r="AC315" s="26">
        <f>IF(AP315="7",BG315,0)</f>
        <v>0</v>
      </c>
      <c r="AD315" s="26">
        <f>IF(AP315="7",BH315,0)</f>
        <v>0</v>
      </c>
      <c r="AE315" s="26">
        <f>IF(AP315="2",BG315,0)</f>
        <v>0</v>
      </c>
      <c r="AF315" s="26">
        <f>IF(AP315="2",BH315,0)</f>
        <v>0</v>
      </c>
      <c r="AG315" s="26">
        <f>IF(AP315="0",BI315,0)</f>
        <v>0</v>
      </c>
      <c r="AH315" s="24" t="s">
        <v>273</v>
      </c>
      <c r="AI315" s="16">
        <f>IF(AM315=0,K315,0)</f>
        <v>0</v>
      </c>
      <c r="AJ315" s="16">
        <f>IF(AM315=15,K315,0)</f>
        <v>0</v>
      </c>
      <c r="AK315" s="16">
        <f>IF(AM315=21,K315,0)</f>
        <v>0</v>
      </c>
      <c r="AM315" s="26">
        <v>15</v>
      </c>
      <c r="AN315" s="26">
        <f>H315*0</f>
        <v>0</v>
      </c>
      <c r="AO315" s="26">
        <f>H315*(1-0)</f>
        <v>0</v>
      </c>
      <c r="AP315" s="27" t="s">
        <v>8</v>
      </c>
      <c r="AU315" s="26">
        <f>AV315+AW315</f>
        <v>0</v>
      </c>
      <c r="AV315" s="26">
        <f>G315*AN315</f>
        <v>0</v>
      </c>
      <c r="AW315" s="26">
        <f>G315*AO315</f>
        <v>0</v>
      </c>
      <c r="AX315" s="29" t="s">
        <v>910</v>
      </c>
      <c r="AY315" s="29" t="s">
        <v>929</v>
      </c>
      <c r="AZ315" s="24" t="s">
        <v>937</v>
      </c>
      <c r="BB315" s="26">
        <f>AV315+AW315</f>
        <v>0</v>
      </c>
      <c r="BC315" s="26">
        <f>H315/(100-BD315)*100</f>
        <v>0</v>
      </c>
      <c r="BD315" s="26">
        <v>0</v>
      </c>
      <c r="BE315" s="26">
        <f>M315</f>
        <v>0</v>
      </c>
      <c r="BG315" s="16">
        <f>G315*AN315</f>
        <v>0</v>
      </c>
      <c r="BH315" s="16">
        <f>G315*AO315</f>
        <v>0</v>
      </c>
      <c r="BI315" s="16">
        <f>G315*H315</f>
        <v>0</v>
      </c>
      <c r="BJ315" s="16" t="s">
        <v>945</v>
      </c>
      <c r="BK315" s="26" t="s">
        <v>445</v>
      </c>
    </row>
    <row r="316" spans="1:46" ht="12.75">
      <c r="A316" s="3"/>
      <c r="B316" s="11" t="s">
        <v>273</v>
      </c>
      <c r="C316" s="52" t="s">
        <v>450</v>
      </c>
      <c r="D316" s="228" t="s">
        <v>734</v>
      </c>
      <c r="E316" s="229"/>
      <c r="F316" s="61" t="s">
        <v>6</v>
      </c>
      <c r="G316" s="61" t="s">
        <v>6</v>
      </c>
      <c r="H316" s="61" t="s">
        <v>6</v>
      </c>
      <c r="I316" s="31">
        <f>SUM(I317:I327)</f>
        <v>0</v>
      </c>
      <c r="J316" s="31">
        <f>SUM(J317:J327)</f>
        <v>0</v>
      </c>
      <c r="K316" s="128">
        <f>SUM(K317:K327)</f>
        <v>0</v>
      </c>
      <c r="L316" s="24"/>
      <c r="M316" s="31">
        <f>SUM(M317:M327)</f>
        <v>0</v>
      </c>
      <c r="N316" s="5"/>
      <c r="AH316" s="24" t="s">
        <v>273</v>
      </c>
      <c r="AR316" s="31">
        <f>SUM(AI317:AI327)</f>
        <v>0</v>
      </c>
      <c r="AS316" s="31">
        <f>SUM(AJ317:AJ327)</f>
        <v>0</v>
      </c>
      <c r="AT316" s="31">
        <f>SUM(AK317:AK327)</f>
        <v>0</v>
      </c>
    </row>
    <row r="317" spans="1:63" ht="12.75">
      <c r="A317" s="4" t="s">
        <v>172</v>
      </c>
      <c r="B317" s="12" t="s">
        <v>273</v>
      </c>
      <c r="C317" s="53" t="s">
        <v>451</v>
      </c>
      <c r="D317" s="230" t="s">
        <v>735</v>
      </c>
      <c r="E317" s="231"/>
      <c r="F317" s="62" t="s">
        <v>851</v>
      </c>
      <c r="G317" s="104">
        <v>6.70055</v>
      </c>
      <c r="H317" s="104"/>
      <c r="I317" s="16">
        <f aca="true" t="shared" si="113" ref="I317:I327">G317*AN317</f>
        <v>0</v>
      </c>
      <c r="J317" s="16">
        <f aca="true" t="shared" si="114" ref="J317:J327">G317*AO317</f>
        <v>0</v>
      </c>
      <c r="K317" s="126">
        <f>G317*H317</f>
        <v>0</v>
      </c>
      <c r="L317" s="16">
        <v>0</v>
      </c>
      <c r="M317" s="16">
        <f>G317*L317</f>
        <v>0</v>
      </c>
      <c r="N317" s="5"/>
      <c r="Y317" s="26">
        <f>IF(AP317="5",BI317,0)</f>
        <v>0</v>
      </c>
      <c r="AA317" s="26">
        <f>IF(AP317="1",BG317,0)</f>
        <v>0</v>
      </c>
      <c r="AB317" s="26">
        <f>IF(AP317="1",BH317,0)</f>
        <v>0</v>
      </c>
      <c r="AC317" s="26">
        <f>IF(AP317="7",BG317,0)</f>
        <v>0</v>
      </c>
      <c r="AD317" s="26">
        <f>IF(AP317="7",BH317,0)</f>
        <v>0</v>
      </c>
      <c r="AE317" s="26">
        <f>IF(AP317="2",BG317,0)</f>
        <v>0</v>
      </c>
      <c r="AF317" s="26">
        <f>IF(AP317="2",BH317,0)</f>
        <v>0</v>
      </c>
      <c r="AG317" s="26">
        <f>IF(AP317="0",BI317,0)</f>
        <v>0</v>
      </c>
      <c r="AH317" s="24" t="s">
        <v>273</v>
      </c>
      <c r="AI317" s="16">
        <f aca="true" t="shared" si="115" ref="AI317:AI327">IF(AM317=0,K317,0)</f>
        <v>0</v>
      </c>
      <c r="AJ317" s="16">
        <f aca="true" t="shared" si="116" ref="AJ317:AJ327">IF(AM317=15,K317,0)</f>
        <v>0</v>
      </c>
      <c r="AK317" s="16">
        <f aca="true" t="shared" si="117" ref="AK317:AK327">IF(AM317=21,K317,0)</f>
        <v>0</v>
      </c>
      <c r="AM317" s="26">
        <v>15</v>
      </c>
      <c r="AN317" s="26">
        <f aca="true" t="shared" si="118" ref="AN317:AN327">H317*0</f>
        <v>0</v>
      </c>
      <c r="AO317" s="26">
        <f aca="true" t="shared" si="119" ref="AO317:AO327">H317*(1-0)</f>
        <v>0</v>
      </c>
      <c r="AP317" s="27" t="s">
        <v>11</v>
      </c>
      <c r="AU317" s="26">
        <f>AV317+AW317</f>
        <v>0</v>
      </c>
      <c r="AV317" s="26">
        <f aca="true" t="shared" si="120" ref="AV317:AV327">G317*AN317</f>
        <v>0</v>
      </c>
      <c r="AW317" s="26">
        <f aca="true" t="shared" si="121" ref="AW317:AW327">G317*AO317</f>
        <v>0</v>
      </c>
      <c r="AX317" s="29" t="s">
        <v>911</v>
      </c>
      <c r="AY317" s="29" t="s">
        <v>929</v>
      </c>
      <c r="AZ317" s="24" t="s">
        <v>937</v>
      </c>
      <c r="BB317" s="26">
        <f>AV317+AW317</f>
        <v>0</v>
      </c>
      <c r="BC317" s="26">
        <f aca="true" t="shared" si="122" ref="BC317:BC327">H317/(100-BD317)*100</f>
        <v>0</v>
      </c>
      <c r="BD317" s="26">
        <v>0</v>
      </c>
      <c r="BE317" s="26">
        <f>M317</f>
        <v>0</v>
      </c>
      <c r="BG317" s="16">
        <f aca="true" t="shared" si="123" ref="BG317:BG327">G317*AN317</f>
        <v>0</v>
      </c>
      <c r="BH317" s="16">
        <f aca="true" t="shared" si="124" ref="BH317:BH327">G317*AO317</f>
        <v>0</v>
      </c>
      <c r="BI317" s="16">
        <f aca="true" t="shared" si="125" ref="BI317:BI327">G317*H317</f>
        <v>0</v>
      </c>
      <c r="BJ317" s="16" t="s">
        <v>945</v>
      </c>
      <c r="BK317" s="26" t="s">
        <v>450</v>
      </c>
    </row>
    <row r="318" spans="1:63" ht="12.75">
      <c r="A318" s="4" t="s">
        <v>173</v>
      </c>
      <c r="B318" s="12" t="s">
        <v>273</v>
      </c>
      <c r="C318" s="53" t="s">
        <v>452</v>
      </c>
      <c r="D318" s="230" t="s">
        <v>736</v>
      </c>
      <c r="E318" s="231"/>
      <c r="F318" s="62" t="s">
        <v>851</v>
      </c>
      <c r="G318" s="104">
        <v>67.0055</v>
      </c>
      <c r="H318" s="104"/>
      <c r="I318" s="16">
        <f t="shared" si="113"/>
        <v>0</v>
      </c>
      <c r="J318" s="16">
        <f t="shared" si="114"/>
        <v>0</v>
      </c>
      <c r="K318" s="126">
        <f>G318*H318</f>
        <v>0</v>
      </c>
      <c r="L318" s="16">
        <v>0</v>
      </c>
      <c r="M318" s="16">
        <f>G318*L318</f>
        <v>0</v>
      </c>
      <c r="N318" s="5"/>
      <c r="Y318" s="26">
        <f>IF(AP318="5",BI318,0)</f>
        <v>0</v>
      </c>
      <c r="AA318" s="26">
        <f>IF(AP318="1",BG318,0)</f>
        <v>0</v>
      </c>
      <c r="AB318" s="26">
        <f>IF(AP318="1",BH318,0)</f>
        <v>0</v>
      </c>
      <c r="AC318" s="26">
        <f>IF(AP318="7",BG318,0)</f>
        <v>0</v>
      </c>
      <c r="AD318" s="26">
        <f>IF(AP318="7",BH318,0)</f>
        <v>0</v>
      </c>
      <c r="AE318" s="26">
        <f>IF(AP318="2",BG318,0)</f>
        <v>0</v>
      </c>
      <c r="AF318" s="26">
        <f>IF(AP318="2",BH318,0)</f>
        <v>0</v>
      </c>
      <c r="AG318" s="26">
        <f>IF(AP318="0",BI318,0)</f>
        <v>0</v>
      </c>
      <c r="AH318" s="24" t="s">
        <v>273</v>
      </c>
      <c r="AI318" s="16">
        <f t="shared" si="115"/>
        <v>0</v>
      </c>
      <c r="AJ318" s="16">
        <f t="shared" si="116"/>
        <v>0</v>
      </c>
      <c r="AK318" s="16">
        <f t="shared" si="117"/>
        <v>0</v>
      </c>
      <c r="AM318" s="26">
        <v>15</v>
      </c>
      <c r="AN318" s="26">
        <f t="shared" si="118"/>
        <v>0</v>
      </c>
      <c r="AO318" s="26">
        <f t="shared" si="119"/>
        <v>0</v>
      </c>
      <c r="AP318" s="27" t="s">
        <v>11</v>
      </c>
      <c r="AU318" s="26">
        <f>AV318+AW318</f>
        <v>0</v>
      </c>
      <c r="AV318" s="26">
        <f t="shared" si="120"/>
        <v>0</v>
      </c>
      <c r="AW318" s="26">
        <f t="shared" si="121"/>
        <v>0</v>
      </c>
      <c r="AX318" s="29" t="s">
        <v>911</v>
      </c>
      <c r="AY318" s="29" t="s">
        <v>929</v>
      </c>
      <c r="AZ318" s="24" t="s">
        <v>937</v>
      </c>
      <c r="BB318" s="26">
        <f>AV318+AW318</f>
        <v>0</v>
      </c>
      <c r="BC318" s="26">
        <f t="shared" si="122"/>
        <v>0</v>
      </c>
      <c r="BD318" s="26">
        <v>0</v>
      </c>
      <c r="BE318" s="26">
        <f>M318</f>
        <v>0</v>
      </c>
      <c r="BG318" s="16">
        <f t="shared" si="123"/>
        <v>0</v>
      </c>
      <c r="BH318" s="16">
        <f t="shared" si="124"/>
        <v>0</v>
      </c>
      <c r="BI318" s="16">
        <f t="shared" si="125"/>
        <v>0</v>
      </c>
      <c r="BJ318" s="16" t="s">
        <v>945</v>
      </c>
      <c r="BK318" s="26" t="s">
        <v>450</v>
      </c>
    </row>
    <row r="319" spans="1:63" ht="12.75">
      <c r="A319" s="4" t="s">
        <v>174</v>
      </c>
      <c r="B319" s="12" t="s">
        <v>273</v>
      </c>
      <c r="C319" s="53" t="s">
        <v>453</v>
      </c>
      <c r="D319" s="230" t="s">
        <v>737</v>
      </c>
      <c r="E319" s="231"/>
      <c r="F319" s="62" t="s">
        <v>851</v>
      </c>
      <c r="G319" s="104">
        <v>6.7055</v>
      </c>
      <c r="H319" s="104"/>
      <c r="I319" s="16">
        <f t="shared" si="113"/>
        <v>0</v>
      </c>
      <c r="J319" s="16">
        <f t="shared" si="114"/>
        <v>0</v>
      </c>
      <c r="K319" s="126">
        <f>G319*H319</f>
        <v>0</v>
      </c>
      <c r="L319" s="16">
        <v>0</v>
      </c>
      <c r="M319" s="16">
        <f>G319*L319</f>
        <v>0</v>
      </c>
      <c r="N319" s="5"/>
      <c r="Y319" s="26">
        <f>IF(AP319="5",BI319,0)</f>
        <v>0</v>
      </c>
      <c r="AA319" s="26">
        <f>IF(AP319="1",BG319,0)</f>
        <v>0</v>
      </c>
      <c r="AB319" s="26">
        <f>IF(AP319="1",BH319,0)</f>
        <v>0</v>
      </c>
      <c r="AC319" s="26">
        <f>IF(AP319="7",BG319,0)</f>
        <v>0</v>
      </c>
      <c r="AD319" s="26">
        <f>IF(AP319="7",BH319,0)</f>
        <v>0</v>
      </c>
      <c r="AE319" s="26">
        <f>IF(AP319="2",BG319,0)</f>
        <v>0</v>
      </c>
      <c r="AF319" s="26">
        <f>IF(AP319="2",BH319,0)</f>
        <v>0</v>
      </c>
      <c r="AG319" s="26">
        <f>IF(AP319="0",BI319,0)</f>
        <v>0</v>
      </c>
      <c r="AH319" s="24" t="s">
        <v>273</v>
      </c>
      <c r="AI319" s="16">
        <f t="shared" si="115"/>
        <v>0</v>
      </c>
      <c r="AJ319" s="16">
        <f t="shared" si="116"/>
        <v>0</v>
      </c>
      <c r="AK319" s="16">
        <f t="shared" si="117"/>
        <v>0</v>
      </c>
      <c r="AM319" s="26">
        <v>15</v>
      </c>
      <c r="AN319" s="26">
        <f t="shared" si="118"/>
        <v>0</v>
      </c>
      <c r="AO319" s="26">
        <f t="shared" si="119"/>
        <v>0</v>
      </c>
      <c r="AP319" s="27" t="s">
        <v>11</v>
      </c>
      <c r="AU319" s="26">
        <f>AV319+AW319</f>
        <v>0</v>
      </c>
      <c r="AV319" s="26">
        <f t="shared" si="120"/>
        <v>0</v>
      </c>
      <c r="AW319" s="26">
        <f t="shared" si="121"/>
        <v>0</v>
      </c>
      <c r="AX319" s="29" t="s">
        <v>911</v>
      </c>
      <c r="AY319" s="29" t="s">
        <v>929</v>
      </c>
      <c r="AZ319" s="24" t="s">
        <v>937</v>
      </c>
      <c r="BB319" s="26">
        <f>AV319+AW319</f>
        <v>0</v>
      </c>
      <c r="BC319" s="26">
        <f t="shared" si="122"/>
        <v>0</v>
      </c>
      <c r="BD319" s="26">
        <v>0</v>
      </c>
      <c r="BE319" s="26">
        <f>M319</f>
        <v>0</v>
      </c>
      <c r="BG319" s="16">
        <f t="shared" si="123"/>
        <v>0</v>
      </c>
      <c r="BH319" s="16">
        <f t="shared" si="124"/>
        <v>0</v>
      </c>
      <c r="BI319" s="16">
        <f t="shared" si="125"/>
        <v>0</v>
      </c>
      <c r="BJ319" s="16" t="s">
        <v>945</v>
      </c>
      <c r="BK319" s="26" t="s">
        <v>450</v>
      </c>
    </row>
    <row r="320" spans="1:63" ht="12.75">
      <c r="A320" s="4" t="s">
        <v>175</v>
      </c>
      <c r="B320" s="12" t="s">
        <v>273</v>
      </c>
      <c r="C320" s="53" t="s">
        <v>454</v>
      </c>
      <c r="D320" s="230" t="s">
        <v>738</v>
      </c>
      <c r="E320" s="231"/>
      <c r="F320" s="62" t="s">
        <v>851</v>
      </c>
      <c r="G320" s="104">
        <v>10.05825</v>
      </c>
      <c r="H320" s="104"/>
      <c r="I320" s="16">
        <f t="shared" si="113"/>
        <v>0</v>
      </c>
      <c r="J320" s="16">
        <f t="shared" si="114"/>
        <v>0</v>
      </c>
      <c r="K320" s="126">
        <f>G320*H320</f>
        <v>0</v>
      </c>
      <c r="L320" s="16">
        <v>0</v>
      </c>
      <c r="M320" s="16">
        <f>G320*L320</f>
        <v>0</v>
      </c>
      <c r="N320" s="5"/>
      <c r="Y320" s="26">
        <f>IF(AP320="5",BI320,0)</f>
        <v>0</v>
      </c>
      <c r="AA320" s="26">
        <f>IF(AP320="1",BG320,0)</f>
        <v>0</v>
      </c>
      <c r="AB320" s="26">
        <f>IF(AP320="1",BH320,0)</f>
        <v>0</v>
      </c>
      <c r="AC320" s="26">
        <f>IF(AP320="7",BG320,0)</f>
        <v>0</v>
      </c>
      <c r="AD320" s="26">
        <f>IF(AP320="7",BH320,0)</f>
        <v>0</v>
      </c>
      <c r="AE320" s="26">
        <f>IF(AP320="2",BG320,0)</f>
        <v>0</v>
      </c>
      <c r="AF320" s="26">
        <f>IF(AP320="2",BH320,0)</f>
        <v>0</v>
      </c>
      <c r="AG320" s="26">
        <f>IF(AP320="0",BI320,0)</f>
        <v>0</v>
      </c>
      <c r="AH320" s="24" t="s">
        <v>273</v>
      </c>
      <c r="AI320" s="16">
        <f t="shared" si="115"/>
        <v>0</v>
      </c>
      <c r="AJ320" s="16">
        <f t="shared" si="116"/>
        <v>0</v>
      </c>
      <c r="AK320" s="16">
        <f t="shared" si="117"/>
        <v>0</v>
      </c>
      <c r="AM320" s="26">
        <v>15</v>
      </c>
      <c r="AN320" s="26">
        <f t="shared" si="118"/>
        <v>0</v>
      </c>
      <c r="AO320" s="26">
        <f t="shared" si="119"/>
        <v>0</v>
      </c>
      <c r="AP320" s="27" t="s">
        <v>11</v>
      </c>
      <c r="AU320" s="26">
        <f>AV320+AW320</f>
        <v>0</v>
      </c>
      <c r="AV320" s="26">
        <f t="shared" si="120"/>
        <v>0</v>
      </c>
      <c r="AW320" s="26">
        <f t="shared" si="121"/>
        <v>0</v>
      </c>
      <c r="AX320" s="29" t="s">
        <v>911</v>
      </c>
      <c r="AY320" s="29" t="s">
        <v>929</v>
      </c>
      <c r="AZ320" s="24" t="s">
        <v>937</v>
      </c>
      <c r="BB320" s="26">
        <f>AV320+AW320</f>
        <v>0</v>
      </c>
      <c r="BC320" s="26">
        <f t="shared" si="122"/>
        <v>0</v>
      </c>
      <c r="BD320" s="26">
        <v>0</v>
      </c>
      <c r="BE320" s="26">
        <f>M320</f>
        <v>0</v>
      </c>
      <c r="BG320" s="16">
        <f t="shared" si="123"/>
        <v>0</v>
      </c>
      <c r="BH320" s="16">
        <f t="shared" si="124"/>
        <v>0</v>
      </c>
      <c r="BI320" s="16">
        <f t="shared" si="125"/>
        <v>0</v>
      </c>
      <c r="BJ320" s="16" t="s">
        <v>945</v>
      </c>
      <c r="BK320" s="26" t="s">
        <v>450</v>
      </c>
    </row>
    <row r="321" spans="1:63" ht="12.75">
      <c r="A321" s="4" t="s">
        <v>176</v>
      </c>
      <c r="B321" s="12" t="s">
        <v>273</v>
      </c>
      <c r="C321" s="53" t="s">
        <v>455</v>
      </c>
      <c r="D321" s="230" t="s">
        <v>739</v>
      </c>
      <c r="E321" s="231"/>
      <c r="F321" s="62" t="s">
        <v>851</v>
      </c>
      <c r="G321" s="104">
        <v>1.4388</v>
      </c>
      <c r="H321" s="104"/>
      <c r="I321" s="16">
        <f t="shared" si="113"/>
        <v>0</v>
      </c>
      <c r="J321" s="16">
        <f t="shared" si="114"/>
        <v>0</v>
      </c>
      <c r="K321" s="126">
        <f>G321*H321</f>
        <v>0</v>
      </c>
      <c r="L321" s="16">
        <v>0</v>
      </c>
      <c r="M321" s="16">
        <f>G321*L321</f>
        <v>0</v>
      </c>
      <c r="N321" s="5"/>
      <c r="Y321" s="26">
        <f>IF(AP321="5",BI321,0)</f>
        <v>0</v>
      </c>
      <c r="AA321" s="26">
        <f>IF(AP321="1",BG321,0)</f>
        <v>0</v>
      </c>
      <c r="AB321" s="26">
        <f>IF(AP321="1",BH321,0)</f>
        <v>0</v>
      </c>
      <c r="AC321" s="26">
        <f>IF(AP321="7",BG321,0)</f>
        <v>0</v>
      </c>
      <c r="AD321" s="26">
        <f>IF(AP321="7",BH321,0)</f>
        <v>0</v>
      </c>
      <c r="AE321" s="26">
        <f>IF(AP321="2",BG321,0)</f>
        <v>0</v>
      </c>
      <c r="AF321" s="26">
        <f>IF(AP321="2",BH321,0)</f>
        <v>0</v>
      </c>
      <c r="AG321" s="26">
        <f>IF(AP321="0",BI321,0)</f>
        <v>0</v>
      </c>
      <c r="AH321" s="24" t="s">
        <v>273</v>
      </c>
      <c r="AI321" s="16">
        <f t="shared" si="115"/>
        <v>0</v>
      </c>
      <c r="AJ321" s="16">
        <f t="shared" si="116"/>
        <v>0</v>
      </c>
      <c r="AK321" s="16">
        <f t="shared" si="117"/>
        <v>0</v>
      </c>
      <c r="AM321" s="26">
        <v>15</v>
      </c>
      <c r="AN321" s="26">
        <f t="shared" si="118"/>
        <v>0</v>
      </c>
      <c r="AO321" s="26">
        <f t="shared" si="119"/>
        <v>0</v>
      </c>
      <c r="AP321" s="27" t="s">
        <v>11</v>
      </c>
      <c r="AU321" s="26">
        <f>AV321+AW321</f>
        <v>0</v>
      </c>
      <c r="AV321" s="26">
        <f t="shared" si="120"/>
        <v>0</v>
      </c>
      <c r="AW321" s="26">
        <f t="shared" si="121"/>
        <v>0</v>
      </c>
      <c r="AX321" s="29" t="s">
        <v>911</v>
      </c>
      <c r="AY321" s="29" t="s">
        <v>929</v>
      </c>
      <c r="AZ321" s="24" t="s">
        <v>937</v>
      </c>
      <c r="BB321" s="26">
        <f>AV321+AW321</f>
        <v>0</v>
      </c>
      <c r="BC321" s="26">
        <f t="shared" si="122"/>
        <v>0</v>
      </c>
      <c r="BD321" s="26">
        <v>0</v>
      </c>
      <c r="BE321" s="26">
        <f>M321</f>
        <v>0</v>
      </c>
      <c r="BG321" s="16">
        <f t="shared" si="123"/>
        <v>0</v>
      </c>
      <c r="BH321" s="16">
        <f t="shared" si="124"/>
        <v>0</v>
      </c>
      <c r="BI321" s="16">
        <f t="shared" si="125"/>
        <v>0</v>
      </c>
      <c r="BJ321" s="16" t="s">
        <v>945</v>
      </c>
      <c r="BK321" s="26" t="s">
        <v>450</v>
      </c>
    </row>
    <row r="322" spans="1:63" ht="12.75">
      <c r="A322" s="4" t="s">
        <v>177</v>
      </c>
      <c r="B322" s="12" t="s">
        <v>273</v>
      </c>
      <c r="C322" s="53" t="s">
        <v>456</v>
      </c>
      <c r="D322" s="230" t="s">
        <v>740</v>
      </c>
      <c r="E322" s="231"/>
      <c r="F322" s="62" t="s">
        <v>851</v>
      </c>
      <c r="G322" s="104">
        <v>6.70055</v>
      </c>
      <c r="H322" s="104"/>
      <c r="I322" s="16">
        <f t="shared" si="113"/>
        <v>0</v>
      </c>
      <c r="J322" s="16">
        <f t="shared" si="114"/>
        <v>0</v>
      </c>
      <c r="K322" s="126">
        <f aca="true" t="shared" si="126" ref="K322:K327">G322*H322</f>
        <v>0</v>
      </c>
      <c r="L322" s="16">
        <v>0</v>
      </c>
      <c r="M322" s="16">
        <f aca="true" t="shared" si="127" ref="M322:M327">G322*L322</f>
        <v>0</v>
      </c>
      <c r="N322" s="5"/>
      <c r="Y322" s="26">
        <f aca="true" t="shared" si="128" ref="Y322:Y327">IF(AP322="5",BI322,0)</f>
        <v>0</v>
      </c>
      <c r="AA322" s="26">
        <f aca="true" t="shared" si="129" ref="AA322:AA327">IF(AP322="1",BG322,0)</f>
        <v>0</v>
      </c>
      <c r="AB322" s="26">
        <f aca="true" t="shared" si="130" ref="AB322:AB327">IF(AP322="1",BH322,0)</f>
        <v>0</v>
      </c>
      <c r="AC322" s="26">
        <f aca="true" t="shared" si="131" ref="AC322:AC327">IF(AP322="7",BG322,0)</f>
        <v>0</v>
      </c>
      <c r="AD322" s="26">
        <f aca="true" t="shared" si="132" ref="AD322:AD327">IF(AP322="7",BH322,0)</f>
        <v>0</v>
      </c>
      <c r="AE322" s="26">
        <f aca="true" t="shared" si="133" ref="AE322:AE327">IF(AP322="2",BG322,0)</f>
        <v>0</v>
      </c>
      <c r="AF322" s="26">
        <f aca="true" t="shared" si="134" ref="AF322:AF327">IF(AP322="2",BH322,0)</f>
        <v>0</v>
      </c>
      <c r="AG322" s="26">
        <f aca="true" t="shared" si="135" ref="AG322:AG327">IF(AP322="0",BI322,0)</f>
        <v>0</v>
      </c>
      <c r="AH322" s="24" t="s">
        <v>273</v>
      </c>
      <c r="AI322" s="16">
        <f t="shared" si="115"/>
        <v>0</v>
      </c>
      <c r="AJ322" s="16">
        <f t="shared" si="116"/>
        <v>0</v>
      </c>
      <c r="AK322" s="16">
        <f t="shared" si="117"/>
        <v>0</v>
      </c>
      <c r="AM322" s="26">
        <v>15</v>
      </c>
      <c r="AN322" s="26">
        <f t="shared" si="118"/>
        <v>0</v>
      </c>
      <c r="AO322" s="26">
        <f t="shared" si="119"/>
        <v>0</v>
      </c>
      <c r="AP322" s="27" t="s">
        <v>11</v>
      </c>
      <c r="AU322" s="26">
        <f aca="true" t="shared" si="136" ref="AU322:AU327">AV322+AW322</f>
        <v>0</v>
      </c>
      <c r="AV322" s="26">
        <f t="shared" si="120"/>
        <v>0</v>
      </c>
      <c r="AW322" s="26">
        <f t="shared" si="121"/>
        <v>0</v>
      </c>
      <c r="AX322" s="29" t="s">
        <v>911</v>
      </c>
      <c r="AY322" s="29" t="s">
        <v>929</v>
      </c>
      <c r="AZ322" s="24" t="s">
        <v>937</v>
      </c>
      <c r="BB322" s="26">
        <f aca="true" t="shared" si="137" ref="BB322:BB327">AV322+AW322</f>
        <v>0</v>
      </c>
      <c r="BC322" s="26">
        <f t="shared" si="122"/>
        <v>0</v>
      </c>
      <c r="BD322" s="26">
        <v>0</v>
      </c>
      <c r="BE322" s="26">
        <f aca="true" t="shared" si="138" ref="BE322:BE327">M322</f>
        <v>0</v>
      </c>
      <c r="BG322" s="16">
        <f t="shared" si="123"/>
        <v>0</v>
      </c>
      <c r="BH322" s="16">
        <f t="shared" si="124"/>
        <v>0</v>
      </c>
      <c r="BI322" s="16">
        <f t="shared" si="125"/>
        <v>0</v>
      </c>
      <c r="BJ322" s="16" t="s">
        <v>945</v>
      </c>
      <c r="BK322" s="26" t="s">
        <v>450</v>
      </c>
    </row>
    <row r="323" spans="1:63" ht="12.75">
      <c r="A323" s="4" t="s">
        <v>178</v>
      </c>
      <c r="B323" s="12" t="s">
        <v>273</v>
      </c>
      <c r="C323" s="53" t="s">
        <v>457</v>
      </c>
      <c r="D323" s="230" t="s">
        <v>1094</v>
      </c>
      <c r="E323" s="231"/>
      <c r="F323" s="62" t="s">
        <v>851</v>
      </c>
      <c r="G323" s="104">
        <v>1.08</v>
      </c>
      <c r="H323" s="104"/>
      <c r="I323" s="16">
        <f t="shared" si="113"/>
        <v>0</v>
      </c>
      <c r="J323" s="16">
        <f t="shared" si="114"/>
        <v>0</v>
      </c>
      <c r="K323" s="126">
        <f t="shared" si="126"/>
        <v>0</v>
      </c>
      <c r="L323" s="16">
        <v>0</v>
      </c>
      <c r="M323" s="16">
        <f t="shared" si="127"/>
        <v>0</v>
      </c>
      <c r="N323" s="5"/>
      <c r="Y323" s="26">
        <f t="shared" si="128"/>
        <v>0</v>
      </c>
      <c r="AA323" s="26">
        <f t="shared" si="129"/>
        <v>0</v>
      </c>
      <c r="AB323" s="26">
        <f t="shared" si="130"/>
        <v>0</v>
      </c>
      <c r="AC323" s="26">
        <f t="shared" si="131"/>
        <v>0</v>
      </c>
      <c r="AD323" s="26">
        <f t="shared" si="132"/>
        <v>0</v>
      </c>
      <c r="AE323" s="26">
        <f t="shared" si="133"/>
        <v>0</v>
      </c>
      <c r="AF323" s="26">
        <f t="shared" si="134"/>
        <v>0</v>
      </c>
      <c r="AG323" s="26">
        <f t="shared" si="135"/>
        <v>0</v>
      </c>
      <c r="AH323" s="24" t="s">
        <v>273</v>
      </c>
      <c r="AI323" s="16">
        <f t="shared" si="115"/>
        <v>0</v>
      </c>
      <c r="AJ323" s="16">
        <f t="shared" si="116"/>
        <v>0</v>
      </c>
      <c r="AK323" s="16">
        <f t="shared" si="117"/>
        <v>0</v>
      </c>
      <c r="AM323" s="26">
        <v>15</v>
      </c>
      <c r="AN323" s="26">
        <f t="shared" si="118"/>
        <v>0</v>
      </c>
      <c r="AO323" s="26">
        <f t="shared" si="119"/>
        <v>0</v>
      </c>
      <c r="AP323" s="27" t="s">
        <v>11</v>
      </c>
      <c r="AU323" s="26">
        <f t="shared" si="136"/>
        <v>0</v>
      </c>
      <c r="AV323" s="26">
        <f t="shared" si="120"/>
        <v>0</v>
      </c>
      <c r="AW323" s="26">
        <f t="shared" si="121"/>
        <v>0</v>
      </c>
      <c r="AX323" s="29" t="s">
        <v>911</v>
      </c>
      <c r="AY323" s="29" t="s">
        <v>929</v>
      </c>
      <c r="AZ323" s="24" t="s">
        <v>937</v>
      </c>
      <c r="BB323" s="26">
        <f t="shared" si="137"/>
        <v>0</v>
      </c>
      <c r="BC323" s="26">
        <f t="shared" si="122"/>
        <v>0</v>
      </c>
      <c r="BD323" s="26">
        <v>0</v>
      </c>
      <c r="BE323" s="26">
        <f t="shared" si="138"/>
        <v>0</v>
      </c>
      <c r="BG323" s="16">
        <f t="shared" si="123"/>
        <v>0</v>
      </c>
      <c r="BH323" s="16">
        <f t="shared" si="124"/>
        <v>0</v>
      </c>
      <c r="BI323" s="16">
        <f t="shared" si="125"/>
        <v>0</v>
      </c>
      <c r="BJ323" s="16" t="s">
        <v>945</v>
      </c>
      <c r="BK323" s="26" t="s">
        <v>450</v>
      </c>
    </row>
    <row r="324" spans="1:63" ht="12.75">
      <c r="A324" s="4" t="s">
        <v>179</v>
      </c>
      <c r="B324" s="12" t="s">
        <v>273</v>
      </c>
      <c r="C324" s="53" t="s">
        <v>457</v>
      </c>
      <c r="D324" s="230" t="s">
        <v>741</v>
      </c>
      <c r="E324" s="231"/>
      <c r="F324" s="62" t="s">
        <v>851</v>
      </c>
      <c r="G324" s="104">
        <v>0.64</v>
      </c>
      <c r="H324" s="104"/>
      <c r="I324" s="16">
        <f t="shared" si="113"/>
        <v>0</v>
      </c>
      <c r="J324" s="16">
        <f t="shared" si="114"/>
        <v>0</v>
      </c>
      <c r="K324" s="126">
        <f t="shared" si="126"/>
        <v>0</v>
      </c>
      <c r="L324" s="16">
        <v>0</v>
      </c>
      <c r="M324" s="16">
        <f t="shared" si="127"/>
        <v>0</v>
      </c>
      <c r="N324" s="5"/>
      <c r="Y324" s="26">
        <f t="shared" si="128"/>
        <v>0</v>
      </c>
      <c r="AA324" s="26">
        <f t="shared" si="129"/>
        <v>0</v>
      </c>
      <c r="AB324" s="26">
        <f t="shared" si="130"/>
        <v>0</v>
      </c>
      <c r="AC324" s="26">
        <f t="shared" si="131"/>
        <v>0</v>
      </c>
      <c r="AD324" s="26">
        <f t="shared" si="132"/>
        <v>0</v>
      </c>
      <c r="AE324" s="26">
        <f t="shared" si="133"/>
        <v>0</v>
      </c>
      <c r="AF324" s="26">
        <f t="shared" si="134"/>
        <v>0</v>
      </c>
      <c r="AG324" s="26">
        <f t="shared" si="135"/>
        <v>0</v>
      </c>
      <c r="AH324" s="24" t="s">
        <v>273</v>
      </c>
      <c r="AI324" s="16">
        <f t="shared" si="115"/>
        <v>0</v>
      </c>
      <c r="AJ324" s="16">
        <f t="shared" si="116"/>
        <v>0</v>
      </c>
      <c r="AK324" s="16">
        <f t="shared" si="117"/>
        <v>0</v>
      </c>
      <c r="AM324" s="26">
        <v>15</v>
      </c>
      <c r="AN324" s="26">
        <f t="shared" si="118"/>
        <v>0</v>
      </c>
      <c r="AO324" s="26">
        <f t="shared" si="119"/>
        <v>0</v>
      </c>
      <c r="AP324" s="27" t="s">
        <v>11</v>
      </c>
      <c r="AU324" s="26">
        <f t="shared" si="136"/>
        <v>0</v>
      </c>
      <c r="AV324" s="26">
        <f t="shared" si="120"/>
        <v>0</v>
      </c>
      <c r="AW324" s="26">
        <f t="shared" si="121"/>
        <v>0</v>
      </c>
      <c r="AX324" s="29" t="s">
        <v>911</v>
      </c>
      <c r="AY324" s="29" t="s">
        <v>929</v>
      </c>
      <c r="AZ324" s="24" t="s">
        <v>937</v>
      </c>
      <c r="BB324" s="26">
        <f t="shared" si="137"/>
        <v>0</v>
      </c>
      <c r="BC324" s="26">
        <f t="shared" si="122"/>
        <v>0</v>
      </c>
      <c r="BD324" s="26">
        <v>0</v>
      </c>
      <c r="BE324" s="26">
        <f t="shared" si="138"/>
        <v>0</v>
      </c>
      <c r="BG324" s="16">
        <f t="shared" si="123"/>
        <v>0</v>
      </c>
      <c r="BH324" s="16">
        <f t="shared" si="124"/>
        <v>0</v>
      </c>
      <c r="BI324" s="16">
        <f t="shared" si="125"/>
        <v>0</v>
      </c>
      <c r="BJ324" s="16" t="s">
        <v>945</v>
      </c>
      <c r="BK324" s="26" t="s">
        <v>450</v>
      </c>
    </row>
    <row r="325" spans="1:63" ht="12.75">
      <c r="A325" s="4" t="s">
        <v>180</v>
      </c>
      <c r="B325" s="12" t="s">
        <v>273</v>
      </c>
      <c r="C325" s="53" t="s">
        <v>458</v>
      </c>
      <c r="D325" s="230" t="s">
        <v>742</v>
      </c>
      <c r="E325" s="231"/>
      <c r="F325" s="62" t="s">
        <v>851</v>
      </c>
      <c r="G325" s="104">
        <v>0.3</v>
      </c>
      <c r="H325" s="104"/>
      <c r="I325" s="16">
        <f t="shared" si="113"/>
        <v>0</v>
      </c>
      <c r="J325" s="16">
        <f t="shared" si="114"/>
        <v>0</v>
      </c>
      <c r="K325" s="126">
        <f t="shared" si="126"/>
        <v>0</v>
      </c>
      <c r="L325" s="16">
        <v>0</v>
      </c>
      <c r="M325" s="16">
        <f t="shared" si="127"/>
        <v>0</v>
      </c>
      <c r="N325" s="5"/>
      <c r="Y325" s="26">
        <f t="shared" si="128"/>
        <v>0</v>
      </c>
      <c r="AA325" s="26">
        <f t="shared" si="129"/>
        <v>0</v>
      </c>
      <c r="AB325" s="26">
        <f t="shared" si="130"/>
        <v>0</v>
      </c>
      <c r="AC325" s="26">
        <f t="shared" si="131"/>
        <v>0</v>
      </c>
      <c r="AD325" s="26">
        <f t="shared" si="132"/>
        <v>0</v>
      </c>
      <c r="AE325" s="26">
        <f t="shared" si="133"/>
        <v>0</v>
      </c>
      <c r="AF325" s="26">
        <f t="shared" si="134"/>
        <v>0</v>
      </c>
      <c r="AG325" s="26">
        <f t="shared" si="135"/>
        <v>0</v>
      </c>
      <c r="AH325" s="24" t="s">
        <v>273</v>
      </c>
      <c r="AI325" s="16">
        <f t="shared" si="115"/>
        <v>0</v>
      </c>
      <c r="AJ325" s="16">
        <f t="shared" si="116"/>
        <v>0</v>
      </c>
      <c r="AK325" s="16">
        <f t="shared" si="117"/>
        <v>0</v>
      </c>
      <c r="AM325" s="26">
        <v>15</v>
      </c>
      <c r="AN325" s="26">
        <f t="shared" si="118"/>
        <v>0</v>
      </c>
      <c r="AO325" s="26">
        <f t="shared" si="119"/>
        <v>0</v>
      </c>
      <c r="AP325" s="27" t="s">
        <v>11</v>
      </c>
      <c r="AU325" s="26">
        <f t="shared" si="136"/>
        <v>0</v>
      </c>
      <c r="AV325" s="26">
        <f t="shared" si="120"/>
        <v>0</v>
      </c>
      <c r="AW325" s="26">
        <f t="shared" si="121"/>
        <v>0</v>
      </c>
      <c r="AX325" s="29" t="s">
        <v>911</v>
      </c>
      <c r="AY325" s="29" t="s">
        <v>929</v>
      </c>
      <c r="AZ325" s="24" t="s">
        <v>937</v>
      </c>
      <c r="BB325" s="26">
        <f t="shared" si="137"/>
        <v>0</v>
      </c>
      <c r="BC325" s="26">
        <f t="shared" si="122"/>
        <v>0</v>
      </c>
      <c r="BD325" s="26">
        <v>0</v>
      </c>
      <c r="BE325" s="26">
        <f t="shared" si="138"/>
        <v>0</v>
      </c>
      <c r="BG325" s="16">
        <f t="shared" si="123"/>
        <v>0</v>
      </c>
      <c r="BH325" s="16">
        <f t="shared" si="124"/>
        <v>0</v>
      </c>
      <c r="BI325" s="16">
        <f t="shared" si="125"/>
        <v>0</v>
      </c>
      <c r="BJ325" s="16" t="s">
        <v>945</v>
      </c>
      <c r="BK325" s="26" t="s">
        <v>450</v>
      </c>
    </row>
    <row r="326" spans="1:63" ht="12.75">
      <c r="A326" s="4" t="s">
        <v>181</v>
      </c>
      <c r="B326" s="12" t="s">
        <v>273</v>
      </c>
      <c r="C326" s="53" t="s">
        <v>459</v>
      </c>
      <c r="D326" s="230" t="s">
        <v>743</v>
      </c>
      <c r="E326" s="231"/>
      <c r="F326" s="62" t="s">
        <v>851</v>
      </c>
      <c r="G326" s="104">
        <v>0.67839</v>
      </c>
      <c r="H326" s="104"/>
      <c r="I326" s="16">
        <f t="shared" si="113"/>
        <v>0</v>
      </c>
      <c r="J326" s="16">
        <f t="shared" si="114"/>
        <v>0</v>
      </c>
      <c r="K326" s="126">
        <f t="shared" si="126"/>
        <v>0</v>
      </c>
      <c r="L326" s="16">
        <v>0</v>
      </c>
      <c r="M326" s="16">
        <f t="shared" si="127"/>
        <v>0</v>
      </c>
      <c r="N326" s="5"/>
      <c r="Y326" s="26">
        <f t="shared" si="128"/>
        <v>0</v>
      </c>
      <c r="AA326" s="26">
        <f t="shared" si="129"/>
        <v>0</v>
      </c>
      <c r="AB326" s="26">
        <f t="shared" si="130"/>
        <v>0</v>
      </c>
      <c r="AC326" s="26">
        <f t="shared" si="131"/>
        <v>0</v>
      </c>
      <c r="AD326" s="26">
        <f t="shared" si="132"/>
        <v>0</v>
      </c>
      <c r="AE326" s="26">
        <f t="shared" si="133"/>
        <v>0</v>
      </c>
      <c r="AF326" s="26">
        <f t="shared" si="134"/>
        <v>0</v>
      </c>
      <c r="AG326" s="26">
        <f t="shared" si="135"/>
        <v>0</v>
      </c>
      <c r="AH326" s="24" t="s">
        <v>273</v>
      </c>
      <c r="AI326" s="16">
        <f t="shared" si="115"/>
        <v>0</v>
      </c>
      <c r="AJ326" s="16">
        <f t="shared" si="116"/>
        <v>0</v>
      </c>
      <c r="AK326" s="16">
        <f t="shared" si="117"/>
        <v>0</v>
      </c>
      <c r="AM326" s="26">
        <v>15</v>
      </c>
      <c r="AN326" s="26">
        <f t="shared" si="118"/>
        <v>0</v>
      </c>
      <c r="AO326" s="26">
        <f t="shared" si="119"/>
        <v>0</v>
      </c>
      <c r="AP326" s="27" t="s">
        <v>11</v>
      </c>
      <c r="AU326" s="26">
        <f t="shared" si="136"/>
        <v>0</v>
      </c>
      <c r="AV326" s="26">
        <f t="shared" si="120"/>
        <v>0</v>
      </c>
      <c r="AW326" s="26">
        <f t="shared" si="121"/>
        <v>0</v>
      </c>
      <c r="AX326" s="29" t="s">
        <v>911</v>
      </c>
      <c r="AY326" s="29" t="s">
        <v>929</v>
      </c>
      <c r="AZ326" s="24" t="s">
        <v>937</v>
      </c>
      <c r="BB326" s="26">
        <f t="shared" si="137"/>
        <v>0</v>
      </c>
      <c r="BC326" s="26">
        <f t="shared" si="122"/>
        <v>0</v>
      </c>
      <c r="BD326" s="26">
        <v>0</v>
      </c>
      <c r="BE326" s="26">
        <f t="shared" si="138"/>
        <v>0</v>
      </c>
      <c r="BG326" s="16">
        <f t="shared" si="123"/>
        <v>0</v>
      </c>
      <c r="BH326" s="16">
        <f t="shared" si="124"/>
        <v>0</v>
      </c>
      <c r="BI326" s="16">
        <f t="shared" si="125"/>
        <v>0</v>
      </c>
      <c r="BJ326" s="16" t="s">
        <v>945</v>
      </c>
      <c r="BK326" s="26" t="s">
        <v>450</v>
      </c>
    </row>
    <row r="327" spans="1:63" ht="12.75">
      <c r="A327" s="4" t="s">
        <v>182</v>
      </c>
      <c r="B327" s="12" t="s">
        <v>273</v>
      </c>
      <c r="C327" s="53" t="s">
        <v>460</v>
      </c>
      <c r="D327" s="230" t="s">
        <v>744</v>
      </c>
      <c r="E327" s="231"/>
      <c r="F327" s="62" t="s">
        <v>851</v>
      </c>
      <c r="G327" s="104">
        <v>4.00216</v>
      </c>
      <c r="H327" s="104"/>
      <c r="I327" s="16">
        <f t="shared" si="113"/>
        <v>0</v>
      </c>
      <c r="J327" s="16">
        <f t="shared" si="114"/>
        <v>0</v>
      </c>
      <c r="K327" s="126">
        <f t="shared" si="126"/>
        <v>0</v>
      </c>
      <c r="L327" s="16">
        <v>0</v>
      </c>
      <c r="M327" s="16">
        <f t="shared" si="127"/>
        <v>0</v>
      </c>
      <c r="N327" s="5"/>
      <c r="Y327" s="26">
        <f t="shared" si="128"/>
        <v>0</v>
      </c>
      <c r="AA327" s="26">
        <f t="shared" si="129"/>
        <v>0</v>
      </c>
      <c r="AB327" s="26">
        <f t="shared" si="130"/>
        <v>0</v>
      </c>
      <c r="AC327" s="26">
        <f t="shared" si="131"/>
        <v>0</v>
      </c>
      <c r="AD327" s="26">
        <f t="shared" si="132"/>
        <v>0</v>
      </c>
      <c r="AE327" s="26">
        <f t="shared" si="133"/>
        <v>0</v>
      </c>
      <c r="AF327" s="26">
        <f t="shared" si="134"/>
        <v>0</v>
      </c>
      <c r="AG327" s="26">
        <f t="shared" si="135"/>
        <v>0</v>
      </c>
      <c r="AH327" s="24" t="s">
        <v>273</v>
      </c>
      <c r="AI327" s="16">
        <f t="shared" si="115"/>
        <v>0</v>
      </c>
      <c r="AJ327" s="16">
        <f t="shared" si="116"/>
        <v>0</v>
      </c>
      <c r="AK327" s="16">
        <f t="shared" si="117"/>
        <v>0</v>
      </c>
      <c r="AM327" s="26">
        <v>15</v>
      </c>
      <c r="AN327" s="26">
        <f t="shared" si="118"/>
        <v>0</v>
      </c>
      <c r="AO327" s="26">
        <f t="shared" si="119"/>
        <v>0</v>
      </c>
      <c r="AP327" s="27" t="s">
        <v>11</v>
      </c>
      <c r="AU327" s="26">
        <f t="shared" si="136"/>
        <v>0</v>
      </c>
      <c r="AV327" s="26">
        <f t="shared" si="120"/>
        <v>0</v>
      </c>
      <c r="AW327" s="26">
        <f t="shared" si="121"/>
        <v>0</v>
      </c>
      <c r="AX327" s="29" t="s">
        <v>911</v>
      </c>
      <c r="AY327" s="29" t="s">
        <v>929</v>
      </c>
      <c r="AZ327" s="24" t="s">
        <v>937</v>
      </c>
      <c r="BB327" s="26">
        <f t="shared" si="137"/>
        <v>0</v>
      </c>
      <c r="BC327" s="26">
        <f t="shared" si="122"/>
        <v>0</v>
      </c>
      <c r="BD327" s="26">
        <v>0</v>
      </c>
      <c r="BE327" s="26">
        <f t="shared" si="138"/>
        <v>0</v>
      </c>
      <c r="BG327" s="16">
        <f t="shared" si="123"/>
        <v>0</v>
      </c>
      <c r="BH327" s="16">
        <f t="shared" si="124"/>
        <v>0</v>
      </c>
      <c r="BI327" s="16">
        <f t="shared" si="125"/>
        <v>0</v>
      </c>
      <c r="BJ327" s="16" t="s">
        <v>945</v>
      </c>
      <c r="BK327" s="26" t="s">
        <v>450</v>
      </c>
    </row>
    <row r="328" spans="1:46" ht="12.75">
      <c r="A328" s="3"/>
      <c r="B328" s="11" t="s">
        <v>273</v>
      </c>
      <c r="C328" s="52" t="s">
        <v>461</v>
      </c>
      <c r="D328" s="228" t="s">
        <v>745</v>
      </c>
      <c r="E328" s="229"/>
      <c r="F328" s="61" t="s">
        <v>6</v>
      </c>
      <c r="G328" s="61" t="s">
        <v>6</v>
      </c>
      <c r="H328" s="61" t="s">
        <v>6</v>
      </c>
      <c r="I328" s="31">
        <f>SUM(I329:I362)</f>
        <v>0</v>
      </c>
      <c r="J328" s="31">
        <f>SUM(J329:J362)</f>
        <v>0</v>
      </c>
      <c r="K328" s="128">
        <f>SUM(K329:K362)</f>
        <v>0</v>
      </c>
      <c r="L328" s="24"/>
      <c r="M328" s="31">
        <f>SUM(M329:M362)</f>
        <v>0.0441834</v>
      </c>
      <c r="N328" s="5"/>
      <c r="AH328" s="24" t="s">
        <v>273</v>
      </c>
      <c r="AR328" s="31">
        <f>SUM(AI329:AI362)</f>
        <v>0</v>
      </c>
      <c r="AS328" s="31">
        <f>SUM(AJ329:AJ362)</f>
        <v>0</v>
      </c>
      <c r="AT328" s="31">
        <f>SUM(AK329:AK362)</f>
        <v>0</v>
      </c>
    </row>
    <row r="329" spans="1:63" ht="12.75">
      <c r="A329" s="6" t="s">
        <v>183</v>
      </c>
      <c r="B329" s="13" t="s">
        <v>273</v>
      </c>
      <c r="C329" s="54" t="s">
        <v>462</v>
      </c>
      <c r="D329" s="238" t="s">
        <v>746</v>
      </c>
      <c r="E329" s="239"/>
      <c r="F329" s="63" t="s">
        <v>849</v>
      </c>
      <c r="G329" s="105">
        <v>6</v>
      </c>
      <c r="H329" s="105"/>
      <c r="I329" s="17">
        <f>G329*AN329</f>
        <v>0</v>
      </c>
      <c r="J329" s="17">
        <f>G329*AO329</f>
        <v>0</v>
      </c>
      <c r="K329" s="126">
        <f aca="true" t="shared" si="139" ref="K329:K355">G329*H329</f>
        <v>0</v>
      </c>
      <c r="L329" s="17">
        <v>0</v>
      </c>
      <c r="M329" s="17">
        <f aca="true" t="shared" si="140" ref="M329:M355">G329*L329</f>
        <v>0</v>
      </c>
      <c r="N329" s="5"/>
      <c r="Y329" s="26">
        <f aca="true" t="shared" si="141" ref="Y329:Y355">IF(AP329="5",BI329,0)</f>
        <v>0</v>
      </c>
      <c r="AA329" s="26">
        <f aca="true" t="shared" si="142" ref="AA329:AA355">IF(AP329="1",BG329,0)</f>
        <v>0</v>
      </c>
      <c r="AB329" s="26">
        <f aca="true" t="shared" si="143" ref="AB329:AB355">IF(AP329="1",BH329,0)</f>
        <v>0</v>
      </c>
      <c r="AC329" s="26">
        <f aca="true" t="shared" si="144" ref="AC329:AC355">IF(AP329="7",BG329,0)</f>
        <v>0</v>
      </c>
      <c r="AD329" s="26">
        <f aca="true" t="shared" si="145" ref="AD329:AD355">IF(AP329="7",BH329,0)</f>
        <v>0</v>
      </c>
      <c r="AE329" s="26">
        <f aca="true" t="shared" si="146" ref="AE329:AE355">IF(AP329="2",BG329,0)</f>
        <v>0</v>
      </c>
      <c r="AF329" s="26">
        <f aca="true" t="shared" si="147" ref="AF329:AF355">IF(AP329="2",BH329,0)</f>
        <v>0</v>
      </c>
      <c r="AG329" s="26">
        <f aca="true" t="shared" si="148" ref="AG329:AG355">IF(AP329="0",BI329,0)</f>
        <v>0</v>
      </c>
      <c r="AH329" s="24" t="s">
        <v>273</v>
      </c>
      <c r="AI329" s="17">
        <f>IF(AM329=0,K329,0)</f>
        <v>0</v>
      </c>
      <c r="AJ329" s="17">
        <f>IF(AM329=15,K329,0)</f>
        <v>0</v>
      </c>
      <c r="AK329" s="17">
        <f>IF(AM329=21,K329,0)</f>
        <v>0</v>
      </c>
      <c r="AM329" s="26">
        <v>15</v>
      </c>
      <c r="AN329" s="26">
        <f>H329*1</f>
        <v>0</v>
      </c>
      <c r="AO329" s="26">
        <f>H329*(1-1)</f>
        <v>0</v>
      </c>
      <c r="AP329" s="28" t="s">
        <v>7</v>
      </c>
      <c r="AU329" s="26">
        <f aca="true" t="shared" si="149" ref="AU329:AU355">AV329+AW329</f>
        <v>0</v>
      </c>
      <c r="AV329" s="26">
        <f>G329*AN329</f>
        <v>0</v>
      </c>
      <c r="AW329" s="26">
        <f>G329*AO329</f>
        <v>0</v>
      </c>
      <c r="AX329" s="29" t="s">
        <v>912</v>
      </c>
      <c r="AY329" s="29" t="s">
        <v>930</v>
      </c>
      <c r="AZ329" s="24" t="s">
        <v>937</v>
      </c>
      <c r="BB329" s="26">
        <f aca="true" t="shared" si="150" ref="BB329:BB355">AV329+AW329</f>
        <v>0</v>
      </c>
      <c r="BC329" s="26">
        <f>H329/(100-BD329)*100</f>
        <v>0</v>
      </c>
      <c r="BD329" s="26">
        <v>0</v>
      </c>
      <c r="BE329" s="26">
        <f aca="true" t="shared" si="151" ref="BE329:BE355">M329</f>
        <v>0</v>
      </c>
      <c r="BG329" s="17">
        <f>G329*AN329</f>
        <v>0</v>
      </c>
      <c r="BH329" s="17">
        <f>G329*AO329</f>
        <v>0</v>
      </c>
      <c r="BI329" s="17">
        <f>G329*H329</f>
        <v>0</v>
      </c>
      <c r="BJ329" s="17" t="s">
        <v>946</v>
      </c>
      <c r="BK329" s="26" t="s">
        <v>461</v>
      </c>
    </row>
    <row r="330" spans="1:14" s="58" customFormat="1" ht="12.75">
      <c r="A330" s="57"/>
      <c r="C330" s="59" t="s">
        <v>991</v>
      </c>
      <c r="D330" s="232" t="s">
        <v>1096</v>
      </c>
      <c r="E330" s="233"/>
      <c r="F330" s="233"/>
      <c r="G330" s="233"/>
      <c r="H330" s="233"/>
      <c r="I330" s="233"/>
      <c r="J330" s="233"/>
      <c r="K330" s="233"/>
      <c r="L330" s="233"/>
      <c r="M330" s="233"/>
      <c r="N330" s="57"/>
    </row>
    <row r="331" spans="1:63" ht="12.75">
      <c r="A331" s="6" t="s">
        <v>184</v>
      </c>
      <c r="B331" s="13" t="s">
        <v>273</v>
      </c>
      <c r="C331" s="54" t="s">
        <v>463</v>
      </c>
      <c r="D331" s="238" t="s">
        <v>747</v>
      </c>
      <c r="E331" s="239"/>
      <c r="F331" s="63" t="s">
        <v>849</v>
      </c>
      <c r="G331" s="105">
        <v>1</v>
      </c>
      <c r="H331" s="105"/>
      <c r="I331" s="17">
        <f>G331*AN331</f>
        <v>0</v>
      </c>
      <c r="J331" s="17">
        <f>G331*AO331</f>
        <v>0</v>
      </c>
      <c r="K331" s="126">
        <f t="shared" si="139"/>
        <v>0</v>
      </c>
      <c r="L331" s="17">
        <v>0</v>
      </c>
      <c r="M331" s="17">
        <f t="shared" si="140"/>
        <v>0</v>
      </c>
      <c r="N331" s="5"/>
      <c r="Y331" s="26">
        <f t="shared" si="141"/>
        <v>0</v>
      </c>
      <c r="AA331" s="26">
        <f t="shared" si="142"/>
        <v>0</v>
      </c>
      <c r="AB331" s="26">
        <f t="shared" si="143"/>
        <v>0</v>
      </c>
      <c r="AC331" s="26">
        <f t="shared" si="144"/>
        <v>0</v>
      </c>
      <c r="AD331" s="26">
        <f t="shared" si="145"/>
        <v>0</v>
      </c>
      <c r="AE331" s="26">
        <f t="shared" si="146"/>
        <v>0</v>
      </c>
      <c r="AF331" s="26">
        <f t="shared" si="147"/>
        <v>0</v>
      </c>
      <c r="AG331" s="26">
        <f t="shared" si="148"/>
        <v>0</v>
      </c>
      <c r="AH331" s="24" t="s">
        <v>273</v>
      </c>
      <c r="AI331" s="17">
        <f>IF(AM331=0,K331,0)</f>
        <v>0</v>
      </c>
      <c r="AJ331" s="17">
        <f>IF(AM331=15,K331,0)</f>
        <v>0</v>
      </c>
      <c r="AK331" s="17">
        <f>IF(AM331=21,K331,0)</f>
        <v>0</v>
      </c>
      <c r="AM331" s="26">
        <v>15</v>
      </c>
      <c r="AN331" s="26">
        <f>H331*1</f>
        <v>0</v>
      </c>
      <c r="AO331" s="26">
        <f>H331*(1-1)</f>
        <v>0</v>
      </c>
      <c r="AP331" s="28" t="s">
        <v>7</v>
      </c>
      <c r="AU331" s="26">
        <f t="shared" si="149"/>
        <v>0</v>
      </c>
      <c r="AV331" s="26">
        <f>G331*AN331</f>
        <v>0</v>
      </c>
      <c r="AW331" s="26">
        <f>G331*AO331</f>
        <v>0</v>
      </c>
      <c r="AX331" s="29" t="s">
        <v>912</v>
      </c>
      <c r="AY331" s="29" t="s">
        <v>930</v>
      </c>
      <c r="AZ331" s="24" t="s">
        <v>937</v>
      </c>
      <c r="BB331" s="26">
        <f t="shared" si="150"/>
        <v>0</v>
      </c>
      <c r="BC331" s="26">
        <f>H331/(100-BD331)*100</f>
        <v>0</v>
      </c>
      <c r="BD331" s="26">
        <v>0</v>
      </c>
      <c r="BE331" s="26">
        <f t="shared" si="151"/>
        <v>0</v>
      </c>
      <c r="BG331" s="17">
        <f>G331*AN331</f>
        <v>0</v>
      </c>
      <c r="BH331" s="17">
        <f>G331*AO331</f>
        <v>0</v>
      </c>
      <c r="BI331" s="17">
        <f>G331*H331</f>
        <v>0</v>
      </c>
      <c r="BJ331" s="17" t="s">
        <v>946</v>
      </c>
      <c r="BK331" s="26" t="s">
        <v>461</v>
      </c>
    </row>
    <row r="332" spans="1:14" s="58" customFormat="1" ht="12.75">
      <c r="A332" s="57"/>
      <c r="C332" s="59" t="s">
        <v>991</v>
      </c>
      <c r="D332" s="232" t="s">
        <v>1095</v>
      </c>
      <c r="E332" s="233"/>
      <c r="F332" s="233"/>
      <c r="G332" s="233"/>
      <c r="H332" s="233"/>
      <c r="I332" s="233"/>
      <c r="J332" s="233"/>
      <c r="K332" s="233"/>
      <c r="L332" s="233"/>
      <c r="M332" s="233"/>
      <c r="N332" s="57"/>
    </row>
    <row r="333" spans="1:63" ht="12.75">
      <c r="A333" s="6" t="s">
        <v>185</v>
      </c>
      <c r="B333" s="13" t="s">
        <v>273</v>
      </c>
      <c r="C333" s="54" t="s">
        <v>464</v>
      </c>
      <c r="D333" s="238" t="s">
        <v>748</v>
      </c>
      <c r="E333" s="239"/>
      <c r="F333" s="63" t="s">
        <v>849</v>
      </c>
      <c r="G333" s="105">
        <v>1</v>
      </c>
      <c r="H333" s="105"/>
      <c r="I333" s="17">
        <f>G333*AN333</f>
        <v>0</v>
      </c>
      <c r="J333" s="17">
        <f>G333*AO333</f>
        <v>0</v>
      </c>
      <c r="K333" s="126">
        <f t="shared" si="139"/>
        <v>0</v>
      </c>
      <c r="L333" s="17">
        <v>0</v>
      </c>
      <c r="M333" s="17">
        <f t="shared" si="140"/>
        <v>0</v>
      </c>
      <c r="N333" s="5"/>
      <c r="Y333" s="26">
        <f t="shared" si="141"/>
        <v>0</v>
      </c>
      <c r="AA333" s="26">
        <f t="shared" si="142"/>
        <v>0</v>
      </c>
      <c r="AB333" s="26">
        <f t="shared" si="143"/>
        <v>0</v>
      </c>
      <c r="AC333" s="26">
        <f t="shared" si="144"/>
        <v>0</v>
      </c>
      <c r="AD333" s="26">
        <f t="shared" si="145"/>
        <v>0</v>
      </c>
      <c r="AE333" s="26">
        <f t="shared" si="146"/>
        <v>0</v>
      </c>
      <c r="AF333" s="26">
        <f t="shared" si="147"/>
        <v>0</v>
      </c>
      <c r="AG333" s="26">
        <f t="shared" si="148"/>
        <v>0</v>
      </c>
      <c r="AH333" s="24" t="s">
        <v>273</v>
      </c>
      <c r="AI333" s="17">
        <f>IF(AM333=0,K333,0)</f>
        <v>0</v>
      </c>
      <c r="AJ333" s="17">
        <f>IF(AM333=15,K333,0)</f>
        <v>0</v>
      </c>
      <c r="AK333" s="17">
        <f>IF(AM333=21,K333,0)</f>
        <v>0</v>
      </c>
      <c r="AM333" s="26">
        <v>15</v>
      </c>
      <c r="AN333" s="26">
        <f>H333*1</f>
        <v>0</v>
      </c>
      <c r="AO333" s="26">
        <f>H333*(1-1)</f>
        <v>0</v>
      </c>
      <c r="AP333" s="28" t="s">
        <v>7</v>
      </c>
      <c r="AU333" s="26">
        <f t="shared" si="149"/>
        <v>0</v>
      </c>
      <c r="AV333" s="26">
        <f>G333*AN333</f>
        <v>0</v>
      </c>
      <c r="AW333" s="26">
        <f>G333*AO333</f>
        <v>0</v>
      </c>
      <c r="AX333" s="29" t="s">
        <v>912</v>
      </c>
      <c r="AY333" s="29" t="s">
        <v>930</v>
      </c>
      <c r="AZ333" s="24" t="s">
        <v>937</v>
      </c>
      <c r="BB333" s="26">
        <f t="shared" si="150"/>
        <v>0</v>
      </c>
      <c r="BC333" s="26">
        <f>H333/(100-BD333)*100</f>
        <v>0</v>
      </c>
      <c r="BD333" s="26">
        <v>0</v>
      </c>
      <c r="BE333" s="26">
        <f t="shared" si="151"/>
        <v>0</v>
      </c>
      <c r="BG333" s="17">
        <f>G333*AN333</f>
        <v>0</v>
      </c>
      <c r="BH333" s="17">
        <f>G333*AO333</f>
        <v>0</v>
      </c>
      <c r="BI333" s="17">
        <f>G333*H333</f>
        <v>0</v>
      </c>
      <c r="BJ333" s="17" t="s">
        <v>946</v>
      </c>
      <c r="BK333" s="26" t="s">
        <v>461</v>
      </c>
    </row>
    <row r="334" spans="1:14" s="58" customFormat="1" ht="12.75">
      <c r="A334" s="57"/>
      <c r="C334" s="59" t="s">
        <v>991</v>
      </c>
      <c r="D334" s="232" t="s">
        <v>1097</v>
      </c>
      <c r="E334" s="233"/>
      <c r="F334" s="233"/>
      <c r="G334" s="233"/>
      <c r="H334" s="233"/>
      <c r="I334" s="233"/>
      <c r="J334" s="233"/>
      <c r="K334" s="233"/>
      <c r="L334" s="233"/>
      <c r="M334" s="233"/>
      <c r="N334" s="57"/>
    </row>
    <row r="335" spans="1:63" ht="12.75">
      <c r="A335" s="6" t="s">
        <v>186</v>
      </c>
      <c r="B335" s="13" t="s">
        <v>273</v>
      </c>
      <c r="C335" s="54" t="s">
        <v>465</v>
      </c>
      <c r="D335" s="238" t="s">
        <v>749</v>
      </c>
      <c r="E335" s="239"/>
      <c r="F335" s="63" t="s">
        <v>846</v>
      </c>
      <c r="G335" s="105">
        <v>34.2</v>
      </c>
      <c r="H335" s="105"/>
      <c r="I335" s="17">
        <f>G335*AN335</f>
        <v>0</v>
      </c>
      <c r="J335" s="17">
        <f>G335*AO335</f>
        <v>0</v>
      </c>
      <c r="K335" s="126">
        <f t="shared" si="139"/>
        <v>0</v>
      </c>
      <c r="L335" s="17">
        <v>0</v>
      </c>
      <c r="M335" s="17">
        <f t="shared" si="140"/>
        <v>0</v>
      </c>
      <c r="N335" s="5"/>
      <c r="Y335" s="26">
        <f t="shared" si="141"/>
        <v>0</v>
      </c>
      <c r="AA335" s="26">
        <f t="shared" si="142"/>
        <v>0</v>
      </c>
      <c r="AB335" s="26">
        <f t="shared" si="143"/>
        <v>0</v>
      </c>
      <c r="AC335" s="26">
        <f t="shared" si="144"/>
        <v>0</v>
      </c>
      <c r="AD335" s="26">
        <f t="shared" si="145"/>
        <v>0</v>
      </c>
      <c r="AE335" s="26">
        <f t="shared" si="146"/>
        <v>0</v>
      </c>
      <c r="AF335" s="26">
        <f t="shared" si="147"/>
        <v>0</v>
      </c>
      <c r="AG335" s="26">
        <f t="shared" si="148"/>
        <v>0</v>
      </c>
      <c r="AH335" s="24" t="s">
        <v>273</v>
      </c>
      <c r="AI335" s="17">
        <f>IF(AM335=0,K335,0)</f>
        <v>0</v>
      </c>
      <c r="AJ335" s="17">
        <f>IF(AM335=15,K335,0)</f>
        <v>0</v>
      </c>
      <c r="AK335" s="17">
        <f>IF(AM335=21,K335,0)</f>
        <v>0</v>
      </c>
      <c r="AM335" s="26">
        <v>15</v>
      </c>
      <c r="AN335" s="26">
        <f>H335*1</f>
        <v>0</v>
      </c>
      <c r="AO335" s="26">
        <f>H335*(1-1)</f>
        <v>0</v>
      </c>
      <c r="AP335" s="28" t="s">
        <v>7</v>
      </c>
      <c r="AU335" s="26">
        <f t="shared" si="149"/>
        <v>0</v>
      </c>
      <c r="AV335" s="26">
        <f>G335*AN335</f>
        <v>0</v>
      </c>
      <c r="AW335" s="26">
        <f>G335*AO335</f>
        <v>0</v>
      </c>
      <c r="AX335" s="29" t="s">
        <v>912</v>
      </c>
      <c r="AY335" s="29" t="s">
        <v>930</v>
      </c>
      <c r="AZ335" s="24" t="s">
        <v>937</v>
      </c>
      <c r="BB335" s="26">
        <f t="shared" si="150"/>
        <v>0</v>
      </c>
      <c r="BC335" s="26">
        <f>H335/(100-BD335)*100</f>
        <v>0</v>
      </c>
      <c r="BD335" s="26">
        <v>0</v>
      </c>
      <c r="BE335" s="26">
        <f t="shared" si="151"/>
        <v>0</v>
      </c>
      <c r="BG335" s="17">
        <f>G335*AN335</f>
        <v>0</v>
      </c>
      <c r="BH335" s="17">
        <f>G335*AO335</f>
        <v>0</v>
      </c>
      <c r="BI335" s="17">
        <f>G335*H335</f>
        <v>0</v>
      </c>
      <c r="BJ335" s="17" t="s">
        <v>946</v>
      </c>
      <c r="BK335" s="26" t="s">
        <v>461</v>
      </c>
    </row>
    <row r="336" spans="1:14" s="58" customFormat="1" ht="12.75">
      <c r="A336" s="57"/>
      <c r="C336" s="59" t="s">
        <v>991</v>
      </c>
      <c r="D336" s="232" t="s">
        <v>1098</v>
      </c>
      <c r="E336" s="233"/>
      <c r="F336" s="233"/>
      <c r="G336" s="233"/>
      <c r="H336" s="233"/>
      <c r="I336" s="233"/>
      <c r="J336" s="233"/>
      <c r="K336" s="233"/>
      <c r="L336" s="233"/>
      <c r="M336" s="233"/>
      <c r="N336" s="57"/>
    </row>
    <row r="337" spans="1:63" ht="12.75">
      <c r="A337" s="6" t="s">
        <v>187</v>
      </c>
      <c r="B337" s="13" t="s">
        <v>273</v>
      </c>
      <c r="C337" s="54" t="s">
        <v>466</v>
      </c>
      <c r="D337" s="238" t="s">
        <v>750</v>
      </c>
      <c r="E337" s="239"/>
      <c r="F337" s="63" t="s">
        <v>849</v>
      </c>
      <c r="G337" s="105">
        <v>6</v>
      </c>
      <c r="H337" s="105"/>
      <c r="I337" s="17">
        <f>G337*AN337</f>
        <v>0</v>
      </c>
      <c r="J337" s="17">
        <f>G337*AO337</f>
        <v>0</v>
      </c>
      <c r="K337" s="126">
        <f t="shared" si="139"/>
        <v>0</v>
      </c>
      <c r="L337" s="17">
        <v>0</v>
      </c>
      <c r="M337" s="17">
        <f t="shared" si="140"/>
        <v>0</v>
      </c>
      <c r="N337" s="5"/>
      <c r="Y337" s="26">
        <f t="shared" si="141"/>
        <v>0</v>
      </c>
      <c r="AA337" s="26">
        <f t="shared" si="142"/>
        <v>0</v>
      </c>
      <c r="AB337" s="26">
        <f t="shared" si="143"/>
        <v>0</v>
      </c>
      <c r="AC337" s="26">
        <f t="shared" si="144"/>
        <v>0</v>
      </c>
      <c r="AD337" s="26">
        <f t="shared" si="145"/>
        <v>0</v>
      </c>
      <c r="AE337" s="26">
        <f t="shared" si="146"/>
        <v>0</v>
      </c>
      <c r="AF337" s="26">
        <f t="shared" si="147"/>
        <v>0</v>
      </c>
      <c r="AG337" s="26">
        <f t="shared" si="148"/>
        <v>0</v>
      </c>
      <c r="AH337" s="24" t="s">
        <v>273</v>
      </c>
      <c r="AI337" s="17">
        <f>IF(AM337=0,K337,0)</f>
        <v>0</v>
      </c>
      <c r="AJ337" s="17">
        <f>IF(AM337=15,K337,0)</f>
        <v>0</v>
      </c>
      <c r="AK337" s="17">
        <f>IF(AM337=21,K337,0)</f>
        <v>0</v>
      </c>
      <c r="AM337" s="26">
        <v>15</v>
      </c>
      <c r="AN337" s="26">
        <f>H337*1</f>
        <v>0</v>
      </c>
      <c r="AO337" s="26">
        <f>H337*(1-1)</f>
        <v>0</v>
      </c>
      <c r="AP337" s="28" t="s">
        <v>7</v>
      </c>
      <c r="AU337" s="26">
        <f t="shared" si="149"/>
        <v>0</v>
      </c>
      <c r="AV337" s="26">
        <f>G337*AN337</f>
        <v>0</v>
      </c>
      <c r="AW337" s="26">
        <f>G337*AO337</f>
        <v>0</v>
      </c>
      <c r="AX337" s="29" t="s">
        <v>912</v>
      </c>
      <c r="AY337" s="29" t="s">
        <v>930</v>
      </c>
      <c r="AZ337" s="24" t="s">
        <v>937</v>
      </c>
      <c r="BB337" s="26">
        <f t="shared" si="150"/>
        <v>0</v>
      </c>
      <c r="BC337" s="26">
        <f>H337/(100-BD337)*100</f>
        <v>0</v>
      </c>
      <c r="BD337" s="26">
        <v>0</v>
      </c>
      <c r="BE337" s="26">
        <f t="shared" si="151"/>
        <v>0</v>
      </c>
      <c r="BG337" s="17">
        <f>G337*AN337</f>
        <v>0</v>
      </c>
      <c r="BH337" s="17">
        <f>G337*AO337</f>
        <v>0</v>
      </c>
      <c r="BI337" s="17">
        <f>G337*H337</f>
        <v>0</v>
      </c>
      <c r="BJ337" s="17" t="s">
        <v>946</v>
      </c>
      <c r="BK337" s="26" t="s">
        <v>461</v>
      </c>
    </row>
    <row r="338" spans="1:14" s="58" customFormat="1" ht="12.75">
      <c r="A338" s="57"/>
      <c r="C338" s="59" t="s">
        <v>991</v>
      </c>
      <c r="D338" s="232" t="s">
        <v>1099</v>
      </c>
      <c r="E338" s="233"/>
      <c r="F338" s="233"/>
      <c r="G338" s="233"/>
      <c r="H338" s="233"/>
      <c r="I338" s="233"/>
      <c r="J338" s="233"/>
      <c r="K338" s="233"/>
      <c r="L338" s="233"/>
      <c r="M338" s="233"/>
      <c r="N338" s="57"/>
    </row>
    <row r="339" spans="1:63" ht="12.75">
      <c r="A339" s="6" t="s">
        <v>188</v>
      </c>
      <c r="B339" s="13" t="s">
        <v>273</v>
      </c>
      <c r="C339" s="54" t="s">
        <v>467</v>
      </c>
      <c r="D339" s="238" t="s">
        <v>751</v>
      </c>
      <c r="E339" s="239"/>
      <c r="F339" s="63" t="s">
        <v>849</v>
      </c>
      <c r="G339" s="105">
        <v>3</v>
      </c>
      <c r="H339" s="105"/>
      <c r="I339" s="17">
        <f>G339*AN339</f>
        <v>0</v>
      </c>
      <c r="J339" s="17">
        <f>G339*AO339</f>
        <v>0</v>
      </c>
      <c r="K339" s="126">
        <f t="shared" si="139"/>
        <v>0</v>
      </c>
      <c r="L339" s="17">
        <v>0</v>
      </c>
      <c r="M339" s="17">
        <f t="shared" si="140"/>
        <v>0</v>
      </c>
      <c r="N339" s="5"/>
      <c r="Y339" s="26">
        <f t="shared" si="141"/>
        <v>0</v>
      </c>
      <c r="AA339" s="26">
        <f t="shared" si="142"/>
        <v>0</v>
      </c>
      <c r="AB339" s="26">
        <f t="shared" si="143"/>
        <v>0</v>
      </c>
      <c r="AC339" s="26">
        <f t="shared" si="144"/>
        <v>0</v>
      </c>
      <c r="AD339" s="26">
        <f t="shared" si="145"/>
        <v>0</v>
      </c>
      <c r="AE339" s="26">
        <f t="shared" si="146"/>
        <v>0</v>
      </c>
      <c r="AF339" s="26">
        <f t="shared" si="147"/>
        <v>0</v>
      </c>
      <c r="AG339" s="26">
        <f t="shared" si="148"/>
        <v>0</v>
      </c>
      <c r="AH339" s="24" t="s">
        <v>273</v>
      </c>
      <c r="AI339" s="17">
        <f>IF(AM339=0,K339,0)</f>
        <v>0</v>
      </c>
      <c r="AJ339" s="17">
        <f>IF(AM339=15,K339,0)</f>
        <v>0</v>
      </c>
      <c r="AK339" s="17">
        <f>IF(AM339=21,K339,0)</f>
        <v>0</v>
      </c>
      <c r="AM339" s="26">
        <v>15</v>
      </c>
      <c r="AN339" s="26">
        <f>H339*1</f>
        <v>0</v>
      </c>
      <c r="AO339" s="26">
        <f>H339*(1-1)</f>
        <v>0</v>
      </c>
      <c r="AP339" s="28" t="s">
        <v>7</v>
      </c>
      <c r="AU339" s="26">
        <f t="shared" si="149"/>
        <v>0</v>
      </c>
      <c r="AV339" s="26">
        <f>G339*AN339</f>
        <v>0</v>
      </c>
      <c r="AW339" s="26">
        <f>G339*AO339</f>
        <v>0</v>
      </c>
      <c r="AX339" s="29" t="s">
        <v>912</v>
      </c>
      <c r="AY339" s="29" t="s">
        <v>930</v>
      </c>
      <c r="AZ339" s="24" t="s">
        <v>937</v>
      </c>
      <c r="BB339" s="26">
        <f t="shared" si="150"/>
        <v>0</v>
      </c>
      <c r="BC339" s="26">
        <f>H339/(100-BD339)*100</f>
        <v>0</v>
      </c>
      <c r="BD339" s="26">
        <v>0</v>
      </c>
      <c r="BE339" s="26">
        <f t="shared" si="151"/>
        <v>0</v>
      </c>
      <c r="BG339" s="17">
        <f>G339*AN339</f>
        <v>0</v>
      </c>
      <c r="BH339" s="17">
        <f>G339*AO339</f>
        <v>0</v>
      </c>
      <c r="BI339" s="17">
        <f>G339*H339</f>
        <v>0</v>
      </c>
      <c r="BJ339" s="17" t="s">
        <v>946</v>
      </c>
      <c r="BK339" s="26" t="s">
        <v>461</v>
      </c>
    </row>
    <row r="340" spans="1:14" s="58" customFormat="1" ht="12.75">
      <c r="A340" s="57"/>
      <c r="C340" s="59" t="s">
        <v>991</v>
      </c>
      <c r="D340" s="232" t="s">
        <v>1100</v>
      </c>
      <c r="E340" s="233"/>
      <c r="F340" s="233"/>
      <c r="G340" s="233"/>
      <c r="H340" s="233"/>
      <c r="I340" s="233"/>
      <c r="J340" s="233"/>
      <c r="K340" s="233"/>
      <c r="L340" s="233"/>
      <c r="M340" s="233"/>
      <c r="N340" s="57"/>
    </row>
    <row r="341" spans="1:63" ht="12.75">
      <c r="A341" s="6" t="s">
        <v>189</v>
      </c>
      <c r="B341" s="13" t="s">
        <v>273</v>
      </c>
      <c r="C341" s="54" t="s">
        <v>468</v>
      </c>
      <c r="D341" s="238" t="s">
        <v>752</v>
      </c>
      <c r="E341" s="239"/>
      <c r="F341" s="63" t="s">
        <v>849</v>
      </c>
      <c r="G341" s="105">
        <v>1</v>
      </c>
      <c r="H341" s="105"/>
      <c r="I341" s="17">
        <f>G341*AN341</f>
        <v>0</v>
      </c>
      <c r="J341" s="17">
        <f>G341*AO341</f>
        <v>0</v>
      </c>
      <c r="K341" s="126">
        <f t="shared" si="139"/>
        <v>0</v>
      </c>
      <c r="L341" s="17">
        <v>0</v>
      </c>
      <c r="M341" s="17">
        <f t="shared" si="140"/>
        <v>0</v>
      </c>
      <c r="N341" s="5"/>
      <c r="Y341" s="26">
        <f t="shared" si="141"/>
        <v>0</v>
      </c>
      <c r="AA341" s="26">
        <f t="shared" si="142"/>
        <v>0</v>
      </c>
      <c r="AB341" s="26">
        <f t="shared" si="143"/>
        <v>0</v>
      </c>
      <c r="AC341" s="26">
        <f t="shared" si="144"/>
        <v>0</v>
      </c>
      <c r="AD341" s="26">
        <f t="shared" si="145"/>
        <v>0</v>
      </c>
      <c r="AE341" s="26">
        <f t="shared" si="146"/>
        <v>0</v>
      </c>
      <c r="AF341" s="26">
        <f t="shared" si="147"/>
        <v>0</v>
      </c>
      <c r="AG341" s="26">
        <f t="shared" si="148"/>
        <v>0</v>
      </c>
      <c r="AH341" s="24" t="s">
        <v>273</v>
      </c>
      <c r="AI341" s="17">
        <f>IF(AM341=0,K341,0)</f>
        <v>0</v>
      </c>
      <c r="AJ341" s="17">
        <f>IF(AM341=15,K341,0)</f>
        <v>0</v>
      </c>
      <c r="AK341" s="17">
        <f>IF(AM341=21,K341,0)</f>
        <v>0</v>
      </c>
      <c r="AM341" s="26">
        <v>15</v>
      </c>
      <c r="AN341" s="26">
        <f>H341*1</f>
        <v>0</v>
      </c>
      <c r="AO341" s="26">
        <f>H341*(1-1)</f>
        <v>0</v>
      </c>
      <c r="AP341" s="28" t="s">
        <v>7</v>
      </c>
      <c r="AU341" s="26">
        <f t="shared" si="149"/>
        <v>0</v>
      </c>
      <c r="AV341" s="26">
        <f>G341*AN341</f>
        <v>0</v>
      </c>
      <c r="AW341" s="26">
        <f>G341*AO341</f>
        <v>0</v>
      </c>
      <c r="AX341" s="29" t="s">
        <v>912</v>
      </c>
      <c r="AY341" s="29" t="s">
        <v>930</v>
      </c>
      <c r="AZ341" s="24" t="s">
        <v>937</v>
      </c>
      <c r="BB341" s="26">
        <f t="shared" si="150"/>
        <v>0</v>
      </c>
      <c r="BC341" s="26">
        <f>H341/(100-BD341)*100</f>
        <v>0</v>
      </c>
      <c r="BD341" s="26">
        <v>0</v>
      </c>
      <c r="BE341" s="26">
        <f t="shared" si="151"/>
        <v>0</v>
      </c>
      <c r="BG341" s="17">
        <f>G341*AN341</f>
        <v>0</v>
      </c>
      <c r="BH341" s="17">
        <f>G341*AO341</f>
        <v>0</v>
      </c>
      <c r="BI341" s="17">
        <f>G341*H341</f>
        <v>0</v>
      </c>
      <c r="BJ341" s="17" t="s">
        <v>946</v>
      </c>
      <c r="BK341" s="26" t="s">
        <v>461</v>
      </c>
    </row>
    <row r="342" spans="1:14" s="58" customFormat="1" ht="12.75">
      <c r="A342" s="57"/>
      <c r="C342" s="59" t="s">
        <v>991</v>
      </c>
      <c r="D342" s="232" t="s">
        <v>1101</v>
      </c>
      <c r="E342" s="233"/>
      <c r="F342" s="233"/>
      <c r="G342" s="233"/>
      <c r="H342" s="233"/>
      <c r="I342" s="233"/>
      <c r="J342" s="233"/>
      <c r="K342" s="233"/>
      <c r="L342" s="233"/>
      <c r="M342" s="233"/>
      <c r="N342" s="57"/>
    </row>
    <row r="343" spans="1:63" ht="12.75">
      <c r="A343" s="6" t="s">
        <v>190</v>
      </c>
      <c r="B343" s="13" t="s">
        <v>273</v>
      </c>
      <c r="C343" s="54" t="s">
        <v>469</v>
      </c>
      <c r="D343" s="238" t="s">
        <v>753</v>
      </c>
      <c r="E343" s="239"/>
      <c r="F343" s="63" t="s">
        <v>849</v>
      </c>
      <c r="G343" s="105">
        <v>2</v>
      </c>
      <c r="H343" s="105"/>
      <c r="I343" s="17">
        <f>G343*AN343</f>
        <v>0</v>
      </c>
      <c r="J343" s="17">
        <f>G343*AO343</f>
        <v>0</v>
      </c>
      <c r="K343" s="126">
        <f t="shared" si="139"/>
        <v>0</v>
      </c>
      <c r="L343" s="17">
        <v>0</v>
      </c>
      <c r="M343" s="17">
        <f t="shared" si="140"/>
        <v>0</v>
      </c>
      <c r="N343" s="5"/>
      <c r="Y343" s="26">
        <f t="shared" si="141"/>
        <v>0</v>
      </c>
      <c r="AA343" s="26">
        <f t="shared" si="142"/>
        <v>0</v>
      </c>
      <c r="AB343" s="26">
        <f t="shared" si="143"/>
        <v>0</v>
      </c>
      <c r="AC343" s="26">
        <f t="shared" si="144"/>
        <v>0</v>
      </c>
      <c r="AD343" s="26">
        <f t="shared" si="145"/>
        <v>0</v>
      </c>
      <c r="AE343" s="26">
        <f t="shared" si="146"/>
        <v>0</v>
      </c>
      <c r="AF343" s="26">
        <f t="shared" si="147"/>
        <v>0</v>
      </c>
      <c r="AG343" s="26">
        <f t="shared" si="148"/>
        <v>0</v>
      </c>
      <c r="AH343" s="24" t="s">
        <v>273</v>
      </c>
      <c r="AI343" s="17">
        <f>IF(AM343=0,K343,0)</f>
        <v>0</v>
      </c>
      <c r="AJ343" s="17">
        <f>IF(AM343=15,K343,0)</f>
        <v>0</v>
      </c>
      <c r="AK343" s="17">
        <f>IF(AM343=21,K343,0)</f>
        <v>0</v>
      </c>
      <c r="AM343" s="26">
        <v>15</v>
      </c>
      <c r="AN343" s="26">
        <f>H343*1</f>
        <v>0</v>
      </c>
      <c r="AO343" s="26">
        <f>H343*(1-1)</f>
        <v>0</v>
      </c>
      <c r="AP343" s="28" t="s">
        <v>7</v>
      </c>
      <c r="AU343" s="26">
        <f t="shared" si="149"/>
        <v>0</v>
      </c>
      <c r="AV343" s="26">
        <f>G343*AN343</f>
        <v>0</v>
      </c>
      <c r="AW343" s="26">
        <f>G343*AO343</f>
        <v>0</v>
      </c>
      <c r="AX343" s="29" t="s">
        <v>912</v>
      </c>
      <c r="AY343" s="29" t="s">
        <v>930</v>
      </c>
      <c r="AZ343" s="24" t="s">
        <v>937</v>
      </c>
      <c r="BB343" s="26">
        <f t="shared" si="150"/>
        <v>0</v>
      </c>
      <c r="BC343" s="26">
        <f>H343/(100-BD343)*100</f>
        <v>0</v>
      </c>
      <c r="BD343" s="26">
        <v>0</v>
      </c>
      <c r="BE343" s="26">
        <f t="shared" si="151"/>
        <v>0</v>
      </c>
      <c r="BG343" s="17">
        <f>G343*AN343</f>
        <v>0</v>
      </c>
      <c r="BH343" s="17">
        <f>G343*AO343</f>
        <v>0</v>
      </c>
      <c r="BI343" s="17">
        <f>G343*H343</f>
        <v>0</v>
      </c>
      <c r="BJ343" s="17" t="s">
        <v>946</v>
      </c>
      <c r="BK343" s="26" t="s">
        <v>461</v>
      </c>
    </row>
    <row r="344" spans="1:14" s="58" customFormat="1" ht="12.75">
      <c r="A344" s="57"/>
      <c r="C344" s="59" t="s">
        <v>991</v>
      </c>
      <c r="D344" s="232" t="s">
        <v>1102</v>
      </c>
      <c r="E344" s="233"/>
      <c r="F344" s="233"/>
      <c r="G344" s="233"/>
      <c r="H344" s="233"/>
      <c r="I344" s="233"/>
      <c r="J344" s="233"/>
      <c r="K344" s="233"/>
      <c r="L344" s="233"/>
      <c r="M344" s="233"/>
      <c r="N344" s="57"/>
    </row>
    <row r="345" spans="1:63" ht="12.75">
      <c r="A345" s="6" t="s">
        <v>191</v>
      </c>
      <c r="B345" s="13" t="s">
        <v>273</v>
      </c>
      <c r="C345" s="54" t="s">
        <v>470</v>
      </c>
      <c r="D345" s="238" t="s">
        <v>754</v>
      </c>
      <c r="E345" s="239"/>
      <c r="F345" s="63" t="s">
        <v>852</v>
      </c>
      <c r="G345" s="105">
        <v>1</v>
      </c>
      <c r="H345" s="105"/>
      <c r="I345" s="17">
        <f>G345*AN345</f>
        <v>0</v>
      </c>
      <c r="J345" s="17">
        <f>G345*AO345</f>
        <v>0</v>
      </c>
      <c r="K345" s="126">
        <f t="shared" si="139"/>
        <v>0</v>
      </c>
      <c r="L345" s="17">
        <v>0</v>
      </c>
      <c r="M345" s="17">
        <f t="shared" si="140"/>
        <v>0</v>
      </c>
      <c r="N345" s="5"/>
      <c r="Y345" s="26">
        <f t="shared" si="141"/>
        <v>0</v>
      </c>
      <c r="AA345" s="26">
        <f t="shared" si="142"/>
        <v>0</v>
      </c>
      <c r="AB345" s="26">
        <f t="shared" si="143"/>
        <v>0</v>
      </c>
      <c r="AC345" s="26">
        <f t="shared" si="144"/>
        <v>0</v>
      </c>
      <c r="AD345" s="26">
        <f t="shared" si="145"/>
        <v>0</v>
      </c>
      <c r="AE345" s="26">
        <f t="shared" si="146"/>
        <v>0</v>
      </c>
      <c r="AF345" s="26">
        <f t="shared" si="147"/>
        <v>0</v>
      </c>
      <c r="AG345" s="26">
        <f t="shared" si="148"/>
        <v>0</v>
      </c>
      <c r="AH345" s="24" t="s">
        <v>273</v>
      </c>
      <c r="AI345" s="17">
        <f>IF(AM345=0,K345,0)</f>
        <v>0</v>
      </c>
      <c r="AJ345" s="17">
        <f>IF(AM345=15,K345,0)</f>
        <v>0</v>
      </c>
      <c r="AK345" s="17">
        <f>IF(AM345=21,K345,0)</f>
        <v>0</v>
      </c>
      <c r="AM345" s="26">
        <v>15</v>
      </c>
      <c r="AN345" s="26">
        <f>H345*1</f>
        <v>0</v>
      </c>
      <c r="AO345" s="26">
        <f>H345*(1-1)</f>
        <v>0</v>
      </c>
      <c r="AP345" s="28" t="s">
        <v>7</v>
      </c>
      <c r="AU345" s="26">
        <f t="shared" si="149"/>
        <v>0</v>
      </c>
      <c r="AV345" s="26">
        <f>G345*AN345</f>
        <v>0</v>
      </c>
      <c r="AW345" s="26">
        <f>G345*AO345</f>
        <v>0</v>
      </c>
      <c r="AX345" s="29" t="s">
        <v>912</v>
      </c>
      <c r="AY345" s="29" t="s">
        <v>930</v>
      </c>
      <c r="AZ345" s="24" t="s">
        <v>937</v>
      </c>
      <c r="BB345" s="26">
        <f t="shared" si="150"/>
        <v>0</v>
      </c>
      <c r="BC345" s="26">
        <f>H345/(100-BD345)*100</f>
        <v>0</v>
      </c>
      <c r="BD345" s="26">
        <v>0</v>
      </c>
      <c r="BE345" s="26">
        <f t="shared" si="151"/>
        <v>0</v>
      </c>
      <c r="BG345" s="17">
        <f>G345*AN345</f>
        <v>0</v>
      </c>
      <c r="BH345" s="17">
        <f>G345*AO345</f>
        <v>0</v>
      </c>
      <c r="BI345" s="17">
        <f>G345*H345</f>
        <v>0</v>
      </c>
      <c r="BJ345" s="17" t="s">
        <v>946</v>
      </c>
      <c r="BK345" s="26" t="s">
        <v>461</v>
      </c>
    </row>
    <row r="346" spans="1:63" ht="12.75">
      <c r="A346" s="6" t="s">
        <v>192</v>
      </c>
      <c r="B346" s="13" t="s">
        <v>273</v>
      </c>
      <c r="C346" s="54" t="s">
        <v>471</v>
      </c>
      <c r="D346" s="238" t="s">
        <v>755</v>
      </c>
      <c r="E346" s="239"/>
      <c r="F346" s="63" t="s">
        <v>852</v>
      </c>
      <c r="G346" s="105">
        <v>1</v>
      </c>
      <c r="H346" s="105"/>
      <c r="I346" s="17">
        <f>G346*AN346</f>
        <v>0</v>
      </c>
      <c r="J346" s="17">
        <f>G346*AO346</f>
        <v>0</v>
      </c>
      <c r="K346" s="126">
        <f t="shared" si="139"/>
        <v>0</v>
      </c>
      <c r="L346" s="17">
        <v>0</v>
      </c>
      <c r="M346" s="17">
        <f t="shared" si="140"/>
        <v>0</v>
      </c>
      <c r="N346" s="5"/>
      <c r="Y346" s="26">
        <f t="shared" si="141"/>
        <v>0</v>
      </c>
      <c r="AA346" s="26">
        <f t="shared" si="142"/>
        <v>0</v>
      </c>
      <c r="AB346" s="26">
        <f t="shared" si="143"/>
        <v>0</v>
      </c>
      <c r="AC346" s="26">
        <f t="shared" si="144"/>
        <v>0</v>
      </c>
      <c r="AD346" s="26">
        <f t="shared" si="145"/>
        <v>0</v>
      </c>
      <c r="AE346" s="26">
        <f t="shared" si="146"/>
        <v>0</v>
      </c>
      <c r="AF346" s="26">
        <f t="shared" si="147"/>
        <v>0</v>
      </c>
      <c r="AG346" s="26">
        <f t="shared" si="148"/>
        <v>0</v>
      </c>
      <c r="AH346" s="24" t="s">
        <v>273</v>
      </c>
      <c r="AI346" s="17">
        <f>IF(AM346=0,K346,0)</f>
        <v>0</v>
      </c>
      <c r="AJ346" s="17">
        <f>IF(AM346=15,K346,0)</f>
        <v>0</v>
      </c>
      <c r="AK346" s="17">
        <f>IF(AM346=21,K346,0)</f>
        <v>0</v>
      </c>
      <c r="AM346" s="26">
        <v>15</v>
      </c>
      <c r="AN346" s="26">
        <f>H346*1</f>
        <v>0</v>
      </c>
      <c r="AO346" s="26">
        <f>H346*(1-1)</f>
        <v>0</v>
      </c>
      <c r="AP346" s="28" t="s">
        <v>7</v>
      </c>
      <c r="AU346" s="26">
        <f t="shared" si="149"/>
        <v>0</v>
      </c>
      <c r="AV346" s="26">
        <f>G346*AN346</f>
        <v>0</v>
      </c>
      <c r="AW346" s="26">
        <f>G346*AO346</f>
        <v>0</v>
      </c>
      <c r="AX346" s="29" t="s">
        <v>912</v>
      </c>
      <c r="AY346" s="29" t="s">
        <v>930</v>
      </c>
      <c r="AZ346" s="24" t="s">
        <v>937</v>
      </c>
      <c r="BB346" s="26">
        <f t="shared" si="150"/>
        <v>0</v>
      </c>
      <c r="BC346" s="26">
        <f>H346/(100-BD346)*100</f>
        <v>0</v>
      </c>
      <c r="BD346" s="26">
        <v>0</v>
      </c>
      <c r="BE346" s="26">
        <f t="shared" si="151"/>
        <v>0</v>
      </c>
      <c r="BG346" s="17">
        <f>G346*AN346</f>
        <v>0</v>
      </c>
      <c r="BH346" s="17">
        <f>G346*AO346</f>
        <v>0</v>
      </c>
      <c r="BI346" s="17">
        <f>G346*H346</f>
        <v>0</v>
      </c>
      <c r="BJ346" s="17" t="s">
        <v>946</v>
      </c>
      <c r="BK346" s="26" t="s">
        <v>461</v>
      </c>
    </row>
    <row r="347" spans="1:63" ht="12.75">
      <c r="A347" s="6" t="s">
        <v>193</v>
      </c>
      <c r="B347" s="13" t="s">
        <v>273</v>
      </c>
      <c r="C347" s="54" t="s">
        <v>472</v>
      </c>
      <c r="D347" s="238" t="s">
        <v>756</v>
      </c>
      <c r="E347" s="239"/>
      <c r="F347" s="63" t="s">
        <v>849</v>
      </c>
      <c r="G347" s="105">
        <v>1</v>
      </c>
      <c r="H347" s="105"/>
      <c r="I347" s="17">
        <f>G347*AN347</f>
        <v>0</v>
      </c>
      <c r="J347" s="17">
        <f>G347*AO347</f>
        <v>0</v>
      </c>
      <c r="K347" s="126">
        <f t="shared" si="139"/>
        <v>0</v>
      </c>
      <c r="L347" s="17">
        <v>0</v>
      </c>
      <c r="M347" s="17">
        <f t="shared" si="140"/>
        <v>0</v>
      </c>
      <c r="N347" s="5"/>
      <c r="Y347" s="26">
        <f t="shared" si="141"/>
        <v>0</v>
      </c>
      <c r="AA347" s="26">
        <f t="shared" si="142"/>
        <v>0</v>
      </c>
      <c r="AB347" s="26">
        <f t="shared" si="143"/>
        <v>0</v>
      </c>
      <c r="AC347" s="26">
        <f t="shared" si="144"/>
        <v>0</v>
      </c>
      <c r="AD347" s="26">
        <f t="shared" si="145"/>
        <v>0</v>
      </c>
      <c r="AE347" s="26">
        <f t="shared" si="146"/>
        <v>0</v>
      </c>
      <c r="AF347" s="26">
        <f t="shared" si="147"/>
        <v>0</v>
      </c>
      <c r="AG347" s="26">
        <f t="shared" si="148"/>
        <v>0</v>
      </c>
      <c r="AH347" s="24" t="s">
        <v>273</v>
      </c>
      <c r="AI347" s="17">
        <f>IF(AM347=0,K347,0)</f>
        <v>0</v>
      </c>
      <c r="AJ347" s="17">
        <f>IF(AM347=15,K347,0)</f>
        <v>0</v>
      </c>
      <c r="AK347" s="17">
        <f>IF(AM347=21,K347,0)</f>
        <v>0</v>
      </c>
      <c r="AM347" s="26">
        <v>15</v>
      </c>
      <c r="AN347" s="26">
        <f>H347*1</f>
        <v>0</v>
      </c>
      <c r="AO347" s="26">
        <f>H347*(1-1)</f>
        <v>0</v>
      </c>
      <c r="AP347" s="28" t="s">
        <v>7</v>
      </c>
      <c r="AU347" s="26">
        <f t="shared" si="149"/>
        <v>0</v>
      </c>
      <c r="AV347" s="26">
        <f>G347*AN347</f>
        <v>0</v>
      </c>
      <c r="AW347" s="26">
        <f>G347*AO347</f>
        <v>0</v>
      </c>
      <c r="AX347" s="29" t="s">
        <v>912</v>
      </c>
      <c r="AY347" s="29" t="s">
        <v>930</v>
      </c>
      <c r="AZ347" s="24" t="s">
        <v>937</v>
      </c>
      <c r="BB347" s="26">
        <f t="shared" si="150"/>
        <v>0</v>
      </c>
      <c r="BC347" s="26">
        <f>H347/(100-BD347)*100</f>
        <v>0</v>
      </c>
      <c r="BD347" s="26">
        <v>0</v>
      </c>
      <c r="BE347" s="26">
        <f t="shared" si="151"/>
        <v>0</v>
      </c>
      <c r="BG347" s="17">
        <f>G347*AN347</f>
        <v>0</v>
      </c>
      <c r="BH347" s="17">
        <f>G347*AO347</f>
        <v>0</v>
      </c>
      <c r="BI347" s="17">
        <f>G347*H347</f>
        <v>0</v>
      </c>
      <c r="BJ347" s="17" t="s">
        <v>946</v>
      </c>
      <c r="BK347" s="26" t="s">
        <v>461</v>
      </c>
    </row>
    <row r="348" spans="1:14" s="58" customFormat="1" ht="12.75">
      <c r="A348" s="57"/>
      <c r="C348" s="59" t="s">
        <v>991</v>
      </c>
      <c r="D348" s="232" t="s">
        <v>1103</v>
      </c>
      <c r="E348" s="233"/>
      <c r="F348" s="233"/>
      <c r="G348" s="233"/>
      <c r="H348" s="233"/>
      <c r="I348" s="233"/>
      <c r="J348" s="233"/>
      <c r="K348" s="233"/>
      <c r="L348" s="233"/>
      <c r="M348" s="233"/>
      <c r="N348" s="57"/>
    </row>
    <row r="349" spans="1:63" ht="12.75">
      <c r="A349" s="6" t="s">
        <v>194</v>
      </c>
      <c r="B349" s="13" t="s">
        <v>273</v>
      </c>
      <c r="C349" s="54" t="s">
        <v>473</v>
      </c>
      <c r="D349" s="238" t="s">
        <v>757</v>
      </c>
      <c r="E349" s="239"/>
      <c r="F349" s="63" t="s">
        <v>849</v>
      </c>
      <c r="G349" s="105">
        <v>5</v>
      </c>
      <c r="H349" s="105"/>
      <c r="I349" s="17">
        <f>G349*AN349</f>
        <v>0</v>
      </c>
      <c r="J349" s="17">
        <f>G349*AO349</f>
        <v>0</v>
      </c>
      <c r="K349" s="126">
        <f t="shared" si="139"/>
        <v>0</v>
      </c>
      <c r="L349" s="17">
        <v>0</v>
      </c>
      <c r="M349" s="17">
        <f t="shared" si="140"/>
        <v>0</v>
      </c>
      <c r="N349" s="5"/>
      <c r="Y349" s="26">
        <f t="shared" si="141"/>
        <v>0</v>
      </c>
      <c r="AA349" s="26">
        <f t="shared" si="142"/>
        <v>0</v>
      </c>
      <c r="AB349" s="26">
        <f t="shared" si="143"/>
        <v>0</v>
      </c>
      <c r="AC349" s="26">
        <f t="shared" si="144"/>
        <v>0</v>
      </c>
      <c r="AD349" s="26">
        <f t="shared" si="145"/>
        <v>0</v>
      </c>
      <c r="AE349" s="26">
        <f t="shared" si="146"/>
        <v>0</v>
      </c>
      <c r="AF349" s="26">
        <f t="shared" si="147"/>
        <v>0</v>
      </c>
      <c r="AG349" s="26">
        <f t="shared" si="148"/>
        <v>0</v>
      </c>
      <c r="AH349" s="24" t="s">
        <v>273</v>
      </c>
      <c r="AI349" s="17">
        <f>IF(AM349=0,K349,0)</f>
        <v>0</v>
      </c>
      <c r="AJ349" s="17">
        <f>IF(AM349=15,K349,0)</f>
        <v>0</v>
      </c>
      <c r="AK349" s="17">
        <f>IF(AM349=21,K349,0)</f>
        <v>0</v>
      </c>
      <c r="AM349" s="26">
        <v>15</v>
      </c>
      <c r="AN349" s="26">
        <f>H349*1</f>
        <v>0</v>
      </c>
      <c r="AO349" s="26">
        <f>H349*(1-1)</f>
        <v>0</v>
      </c>
      <c r="AP349" s="28" t="s">
        <v>7</v>
      </c>
      <c r="AU349" s="26">
        <f t="shared" si="149"/>
        <v>0</v>
      </c>
      <c r="AV349" s="26">
        <f>G349*AN349</f>
        <v>0</v>
      </c>
      <c r="AW349" s="26">
        <f>G349*AO349</f>
        <v>0</v>
      </c>
      <c r="AX349" s="29" t="s">
        <v>912</v>
      </c>
      <c r="AY349" s="29" t="s">
        <v>930</v>
      </c>
      <c r="AZ349" s="24" t="s">
        <v>937</v>
      </c>
      <c r="BB349" s="26">
        <f t="shared" si="150"/>
        <v>0</v>
      </c>
      <c r="BC349" s="26">
        <f>H349/(100-BD349)*100</f>
        <v>0</v>
      </c>
      <c r="BD349" s="26">
        <v>0</v>
      </c>
      <c r="BE349" s="26">
        <f t="shared" si="151"/>
        <v>0</v>
      </c>
      <c r="BG349" s="17">
        <f>G349*AN349</f>
        <v>0</v>
      </c>
      <c r="BH349" s="17">
        <f>G349*AO349</f>
        <v>0</v>
      </c>
      <c r="BI349" s="17">
        <f>G349*H349</f>
        <v>0</v>
      </c>
      <c r="BJ349" s="17" t="s">
        <v>946</v>
      </c>
      <c r="BK349" s="26" t="s">
        <v>461</v>
      </c>
    </row>
    <row r="350" spans="1:14" s="58" customFormat="1" ht="12.75">
      <c r="A350" s="57"/>
      <c r="C350" s="59" t="s">
        <v>991</v>
      </c>
      <c r="D350" s="232" t="s">
        <v>1104</v>
      </c>
      <c r="E350" s="233"/>
      <c r="F350" s="233"/>
      <c r="G350" s="233"/>
      <c r="H350" s="233"/>
      <c r="I350" s="233"/>
      <c r="J350" s="233"/>
      <c r="K350" s="233"/>
      <c r="L350" s="233"/>
      <c r="M350" s="233"/>
      <c r="N350" s="57"/>
    </row>
    <row r="351" spans="1:63" ht="12.75">
      <c r="A351" s="4" t="s">
        <v>195</v>
      </c>
      <c r="B351" s="12" t="s">
        <v>273</v>
      </c>
      <c r="C351" s="53" t="s">
        <v>474</v>
      </c>
      <c r="D351" s="230" t="s">
        <v>758</v>
      </c>
      <c r="E351" s="231"/>
      <c r="F351" s="62" t="s">
        <v>849</v>
      </c>
      <c r="G351" s="104">
        <v>71</v>
      </c>
      <c r="H351" s="104"/>
      <c r="I351" s="16">
        <f>G351*AN351</f>
        <v>0</v>
      </c>
      <c r="J351" s="16">
        <f>G351*AO351</f>
        <v>0</v>
      </c>
      <c r="K351" s="126">
        <f t="shared" si="139"/>
        <v>0</v>
      </c>
      <c r="L351" s="16">
        <v>0</v>
      </c>
      <c r="M351" s="16">
        <f t="shared" si="140"/>
        <v>0</v>
      </c>
      <c r="N351" s="5"/>
      <c r="Y351" s="26">
        <f t="shared" si="141"/>
        <v>0</v>
      </c>
      <c r="AA351" s="26">
        <f t="shared" si="142"/>
        <v>0</v>
      </c>
      <c r="AB351" s="26">
        <f t="shared" si="143"/>
        <v>0</v>
      </c>
      <c r="AC351" s="26">
        <f t="shared" si="144"/>
        <v>0</v>
      </c>
      <c r="AD351" s="26">
        <f t="shared" si="145"/>
        <v>0</v>
      </c>
      <c r="AE351" s="26">
        <f t="shared" si="146"/>
        <v>0</v>
      </c>
      <c r="AF351" s="26">
        <f t="shared" si="147"/>
        <v>0</v>
      </c>
      <c r="AG351" s="26">
        <f t="shared" si="148"/>
        <v>0</v>
      </c>
      <c r="AH351" s="24" t="s">
        <v>273</v>
      </c>
      <c r="AI351" s="16">
        <f>IF(AM351=0,K351,0)</f>
        <v>0</v>
      </c>
      <c r="AJ351" s="16">
        <f>IF(AM351=15,K351,0)</f>
        <v>0</v>
      </c>
      <c r="AK351" s="16">
        <f>IF(AM351=21,K351,0)</f>
        <v>0</v>
      </c>
      <c r="AM351" s="26">
        <v>15</v>
      </c>
      <c r="AN351" s="26">
        <f>H351*0</f>
        <v>0</v>
      </c>
      <c r="AO351" s="26">
        <f>H351*(1-0)</f>
        <v>0</v>
      </c>
      <c r="AP351" s="27" t="s">
        <v>7</v>
      </c>
      <c r="AU351" s="26">
        <f t="shared" si="149"/>
        <v>0</v>
      </c>
      <c r="AV351" s="26">
        <f>G351*AN351</f>
        <v>0</v>
      </c>
      <c r="AW351" s="26">
        <f>G351*AO351</f>
        <v>0</v>
      </c>
      <c r="AX351" s="29" t="s">
        <v>912</v>
      </c>
      <c r="AY351" s="29" t="s">
        <v>930</v>
      </c>
      <c r="AZ351" s="24" t="s">
        <v>937</v>
      </c>
      <c r="BB351" s="26">
        <f t="shared" si="150"/>
        <v>0</v>
      </c>
      <c r="BC351" s="26">
        <f>H351/(100-BD351)*100</f>
        <v>0</v>
      </c>
      <c r="BD351" s="26">
        <v>0</v>
      </c>
      <c r="BE351" s="26">
        <f t="shared" si="151"/>
        <v>0</v>
      </c>
      <c r="BG351" s="16">
        <f>G351*AN351</f>
        <v>0</v>
      </c>
      <c r="BH351" s="16">
        <f>G351*AO351</f>
        <v>0</v>
      </c>
      <c r="BI351" s="16">
        <f>G351*H351</f>
        <v>0</v>
      </c>
      <c r="BJ351" s="16" t="s">
        <v>945</v>
      </c>
      <c r="BK351" s="26" t="s">
        <v>461</v>
      </c>
    </row>
    <row r="352" spans="1:14" s="58" customFormat="1" ht="12.75">
      <c r="A352" s="57"/>
      <c r="C352" s="59" t="s">
        <v>991</v>
      </c>
      <c r="D352" s="232" t="s">
        <v>1105</v>
      </c>
      <c r="E352" s="233"/>
      <c r="F352" s="233"/>
      <c r="G352" s="233"/>
      <c r="H352" s="233"/>
      <c r="I352" s="233"/>
      <c r="J352" s="233"/>
      <c r="K352" s="233"/>
      <c r="L352" s="233"/>
      <c r="M352" s="233"/>
      <c r="N352" s="57"/>
    </row>
    <row r="353" spans="1:63" ht="12.75">
      <c r="A353" s="4" t="s">
        <v>196</v>
      </c>
      <c r="B353" s="12" t="s">
        <v>273</v>
      </c>
      <c r="C353" s="53" t="s">
        <v>475</v>
      </c>
      <c r="D353" s="230" t="s">
        <v>759</v>
      </c>
      <c r="E353" s="231"/>
      <c r="F353" s="62" t="s">
        <v>849</v>
      </c>
      <c r="G353" s="104">
        <v>7</v>
      </c>
      <c r="H353" s="104"/>
      <c r="I353" s="16">
        <f>G353*AN353</f>
        <v>0</v>
      </c>
      <c r="J353" s="16">
        <f>G353*AO353</f>
        <v>0</v>
      </c>
      <c r="K353" s="126">
        <f t="shared" si="139"/>
        <v>0</v>
      </c>
      <c r="L353" s="16">
        <v>0</v>
      </c>
      <c r="M353" s="16">
        <f t="shared" si="140"/>
        <v>0</v>
      </c>
      <c r="N353" s="5"/>
      <c r="Y353" s="26">
        <f t="shared" si="141"/>
        <v>0</v>
      </c>
      <c r="AA353" s="26">
        <f t="shared" si="142"/>
        <v>0</v>
      </c>
      <c r="AB353" s="26">
        <f t="shared" si="143"/>
        <v>0</v>
      </c>
      <c r="AC353" s="26">
        <f t="shared" si="144"/>
        <v>0</v>
      </c>
      <c r="AD353" s="26">
        <f t="shared" si="145"/>
        <v>0</v>
      </c>
      <c r="AE353" s="26">
        <f t="shared" si="146"/>
        <v>0</v>
      </c>
      <c r="AF353" s="26">
        <f t="shared" si="147"/>
        <v>0</v>
      </c>
      <c r="AG353" s="26">
        <f t="shared" si="148"/>
        <v>0</v>
      </c>
      <c r="AH353" s="24" t="s">
        <v>273</v>
      </c>
      <c r="AI353" s="16">
        <f>IF(AM353=0,K353,0)</f>
        <v>0</v>
      </c>
      <c r="AJ353" s="16">
        <f>IF(AM353=15,K353,0)</f>
        <v>0</v>
      </c>
      <c r="AK353" s="16">
        <f>IF(AM353=21,K353,0)</f>
        <v>0</v>
      </c>
      <c r="AM353" s="26">
        <v>15</v>
      </c>
      <c r="AN353" s="26">
        <f>H353*0</f>
        <v>0</v>
      </c>
      <c r="AO353" s="26">
        <f>H353*(1-0)</f>
        <v>0</v>
      </c>
      <c r="AP353" s="27" t="s">
        <v>7</v>
      </c>
      <c r="AU353" s="26">
        <f t="shared" si="149"/>
        <v>0</v>
      </c>
      <c r="AV353" s="26">
        <f>G353*AN353</f>
        <v>0</v>
      </c>
      <c r="AW353" s="26">
        <f>G353*AO353</f>
        <v>0</v>
      </c>
      <c r="AX353" s="29" t="s">
        <v>912</v>
      </c>
      <c r="AY353" s="29" t="s">
        <v>930</v>
      </c>
      <c r="AZ353" s="24" t="s">
        <v>937</v>
      </c>
      <c r="BB353" s="26">
        <f t="shared" si="150"/>
        <v>0</v>
      </c>
      <c r="BC353" s="26">
        <f>H353/(100-BD353)*100</f>
        <v>0</v>
      </c>
      <c r="BD353" s="26">
        <v>0</v>
      </c>
      <c r="BE353" s="26">
        <f t="shared" si="151"/>
        <v>0</v>
      </c>
      <c r="BG353" s="16">
        <f>G353*AN353</f>
        <v>0</v>
      </c>
      <c r="BH353" s="16">
        <f>G353*AO353</f>
        <v>0</v>
      </c>
      <c r="BI353" s="16">
        <f>G353*H353</f>
        <v>0</v>
      </c>
      <c r="BJ353" s="16" t="s">
        <v>945</v>
      </c>
      <c r="BK353" s="26" t="s">
        <v>461</v>
      </c>
    </row>
    <row r="354" spans="1:14" s="58" customFormat="1" ht="12.75">
      <c r="A354" s="57"/>
      <c r="C354" s="59" t="s">
        <v>991</v>
      </c>
      <c r="D354" s="232" t="s">
        <v>1106</v>
      </c>
      <c r="E354" s="233"/>
      <c r="F354" s="233"/>
      <c r="G354" s="233"/>
      <c r="H354" s="233"/>
      <c r="I354" s="233"/>
      <c r="J354" s="233"/>
      <c r="K354" s="233"/>
      <c r="L354" s="233"/>
      <c r="M354" s="233"/>
      <c r="N354" s="57"/>
    </row>
    <row r="355" spans="1:63" ht="12.75">
      <c r="A355" s="6" t="s">
        <v>197</v>
      </c>
      <c r="B355" s="13" t="s">
        <v>273</v>
      </c>
      <c r="C355" s="54" t="s">
        <v>476</v>
      </c>
      <c r="D355" s="238" t="s">
        <v>760</v>
      </c>
      <c r="E355" s="239"/>
      <c r="F355" s="63" t="s">
        <v>847</v>
      </c>
      <c r="G355" s="105">
        <v>44.1834</v>
      </c>
      <c r="H355" s="105"/>
      <c r="I355" s="17">
        <f>G355*AN355</f>
        <v>0</v>
      </c>
      <c r="J355" s="17">
        <f>G355*AO355</f>
        <v>0</v>
      </c>
      <c r="K355" s="126">
        <f t="shared" si="139"/>
        <v>0</v>
      </c>
      <c r="L355" s="17">
        <v>0.001</v>
      </c>
      <c r="M355" s="17">
        <f t="shared" si="140"/>
        <v>0.0441834</v>
      </c>
      <c r="N355" s="5"/>
      <c r="Y355" s="26">
        <f t="shared" si="141"/>
        <v>0</v>
      </c>
      <c r="AA355" s="26">
        <f t="shared" si="142"/>
        <v>0</v>
      </c>
      <c r="AB355" s="26">
        <f t="shared" si="143"/>
        <v>0</v>
      </c>
      <c r="AC355" s="26">
        <f t="shared" si="144"/>
        <v>0</v>
      </c>
      <c r="AD355" s="26">
        <f t="shared" si="145"/>
        <v>0</v>
      </c>
      <c r="AE355" s="26">
        <f t="shared" si="146"/>
        <v>0</v>
      </c>
      <c r="AF355" s="26">
        <f t="shared" si="147"/>
        <v>0</v>
      </c>
      <c r="AG355" s="26">
        <f t="shared" si="148"/>
        <v>0</v>
      </c>
      <c r="AH355" s="24" t="s">
        <v>273</v>
      </c>
      <c r="AI355" s="17">
        <f>IF(AM355=0,K355,0)</f>
        <v>0</v>
      </c>
      <c r="AJ355" s="17">
        <f>IF(AM355=15,K355,0)</f>
        <v>0</v>
      </c>
      <c r="AK355" s="17">
        <f>IF(AM355=21,K355,0)</f>
        <v>0</v>
      </c>
      <c r="AM355" s="26">
        <v>15</v>
      </c>
      <c r="AN355" s="26">
        <f>H355*1</f>
        <v>0</v>
      </c>
      <c r="AO355" s="26">
        <f>H355*(1-1)</f>
        <v>0</v>
      </c>
      <c r="AP355" s="28" t="s">
        <v>7</v>
      </c>
      <c r="AU355" s="26">
        <f t="shared" si="149"/>
        <v>0</v>
      </c>
      <c r="AV355" s="26">
        <f>G355*AN355</f>
        <v>0</v>
      </c>
      <c r="AW355" s="26">
        <f>G355*AO355</f>
        <v>0</v>
      </c>
      <c r="AX355" s="29" t="s">
        <v>912</v>
      </c>
      <c r="AY355" s="29" t="s">
        <v>930</v>
      </c>
      <c r="AZ355" s="24" t="s">
        <v>937</v>
      </c>
      <c r="BB355" s="26">
        <f t="shared" si="150"/>
        <v>0</v>
      </c>
      <c r="BC355" s="26">
        <f>H355/(100-BD355)*100</f>
        <v>0</v>
      </c>
      <c r="BD355" s="26">
        <v>0</v>
      </c>
      <c r="BE355" s="26">
        <f t="shared" si="151"/>
        <v>0.0441834</v>
      </c>
      <c r="BG355" s="17">
        <f>G355*AN355</f>
        <v>0</v>
      </c>
      <c r="BH355" s="17">
        <f>G355*AO355</f>
        <v>0</v>
      </c>
      <c r="BI355" s="17">
        <f>G355*H355</f>
        <v>0</v>
      </c>
      <c r="BJ355" s="17" t="s">
        <v>946</v>
      </c>
      <c r="BK355" s="26" t="s">
        <v>461</v>
      </c>
    </row>
    <row r="356" spans="1:63" ht="12.75">
      <c r="A356" s="4" t="s">
        <v>198</v>
      </c>
      <c r="B356" s="12" t="s">
        <v>273</v>
      </c>
      <c r="C356" s="53" t="s">
        <v>477</v>
      </c>
      <c r="D356" s="230" t="s">
        <v>761</v>
      </c>
      <c r="E356" s="231"/>
      <c r="F356" s="62" t="s">
        <v>852</v>
      </c>
      <c r="G356" s="104">
        <v>1</v>
      </c>
      <c r="H356" s="104"/>
      <c r="I356" s="16">
        <f>G356*AN356</f>
        <v>0</v>
      </c>
      <c r="J356" s="16">
        <f>G356*AO356</f>
        <v>0</v>
      </c>
      <c r="K356" s="126">
        <f>G356*H356</f>
        <v>0</v>
      </c>
      <c r="L356" s="16">
        <v>0</v>
      </c>
      <c r="M356" s="16">
        <f>G356*L356</f>
        <v>0</v>
      </c>
      <c r="N356" s="5"/>
      <c r="Y356" s="26">
        <f>IF(AP356="5",BI356,0)</f>
        <v>0</v>
      </c>
      <c r="AA356" s="26">
        <f>IF(AP356="1",BG356,0)</f>
        <v>0</v>
      </c>
      <c r="AB356" s="26">
        <f>IF(AP356="1",BH356,0)</f>
        <v>0</v>
      </c>
      <c r="AC356" s="26">
        <f>IF(AP356="7",BG356,0)</f>
        <v>0</v>
      </c>
      <c r="AD356" s="26">
        <f>IF(AP356="7",BH356,0)</f>
        <v>0</v>
      </c>
      <c r="AE356" s="26">
        <f>IF(AP356="2",BG356,0)</f>
        <v>0</v>
      </c>
      <c r="AF356" s="26">
        <f>IF(AP356="2",BH356,0)</f>
        <v>0</v>
      </c>
      <c r="AG356" s="26">
        <f>IF(AP356="0",BI356,0)</f>
        <v>0</v>
      </c>
      <c r="AH356" s="24" t="s">
        <v>273</v>
      </c>
      <c r="AI356" s="16">
        <f>IF(AM356=0,K356,0)</f>
        <v>0</v>
      </c>
      <c r="AJ356" s="16">
        <f>IF(AM356=15,K356,0)</f>
        <v>0</v>
      </c>
      <c r="AK356" s="16">
        <f>IF(AM356=21,K356,0)</f>
        <v>0</v>
      </c>
      <c r="AM356" s="26">
        <v>15</v>
      </c>
      <c r="AN356" s="26">
        <f>H356*0</f>
        <v>0</v>
      </c>
      <c r="AO356" s="26">
        <f>H356*(1-0)</f>
        <v>0</v>
      </c>
      <c r="AP356" s="27" t="s">
        <v>7</v>
      </c>
      <c r="AU356" s="26">
        <f>AV356+AW356</f>
        <v>0</v>
      </c>
      <c r="AV356" s="26">
        <f>G356*AN356</f>
        <v>0</v>
      </c>
      <c r="AW356" s="26">
        <f>G356*AO356</f>
        <v>0</v>
      </c>
      <c r="AX356" s="29" t="s">
        <v>912</v>
      </c>
      <c r="AY356" s="29" t="s">
        <v>930</v>
      </c>
      <c r="AZ356" s="24" t="s">
        <v>937</v>
      </c>
      <c r="BB356" s="26">
        <f>AV356+AW356</f>
        <v>0</v>
      </c>
      <c r="BC356" s="26">
        <f>H356/(100-BD356)*100</f>
        <v>0</v>
      </c>
      <c r="BD356" s="26">
        <v>0</v>
      </c>
      <c r="BE356" s="26">
        <f>M356</f>
        <v>0</v>
      </c>
      <c r="BG356" s="16">
        <f>G356*AN356</f>
        <v>0</v>
      </c>
      <c r="BH356" s="16">
        <f>G356*AO356</f>
        <v>0</v>
      </c>
      <c r="BI356" s="16">
        <f>G356*H356</f>
        <v>0</v>
      </c>
      <c r="BJ356" s="16" t="s">
        <v>945</v>
      </c>
      <c r="BK356" s="26" t="s">
        <v>461</v>
      </c>
    </row>
    <row r="357" spans="1:14" s="58" customFormat="1" ht="12.75">
      <c r="A357" s="57"/>
      <c r="C357" s="59" t="s">
        <v>991</v>
      </c>
      <c r="D357" s="232" t="s">
        <v>1108</v>
      </c>
      <c r="E357" s="233"/>
      <c r="F357" s="233"/>
      <c r="G357" s="233"/>
      <c r="H357" s="233"/>
      <c r="I357" s="233"/>
      <c r="J357" s="233"/>
      <c r="K357" s="233"/>
      <c r="L357" s="233"/>
      <c r="M357" s="233"/>
      <c r="N357" s="57"/>
    </row>
    <row r="358" spans="1:63" ht="12.75">
      <c r="A358" s="4" t="s">
        <v>199</v>
      </c>
      <c r="B358" s="12" t="s">
        <v>273</v>
      </c>
      <c r="C358" s="53" t="s">
        <v>478</v>
      </c>
      <c r="D358" s="230" t="s">
        <v>762</v>
      </c>
      <c r="E358" s="231"/>
      <c r="F358" s="62" t="s">
        <v>852</v>
      </c>
      <c r="G358" s="104">
        <v>1</v>
      </c>
      <c r="H358" s="104"/>
      <c r="I358" s="16">
        <f>G358*AN358</f>
        <v>0</v>
      </c>
      <c r="J358" s="16">
        <f>G358*AO358</f>
        <v>0</v>
      </c>
      <c r="K358" s="126">
        <f>G358*H358</f>
        <v>0</v>
      </c>
      <c r="L358" s="16">
        <v>0</v>
      </c>
      <c r="M358" s="16">
        <f>G358*L358</f>
        <v>0</v>
      </c>
      <c r="N358" s="5"/>
      <c r="Y358" s="26">
        <f>IF(AP358="5",BI358,0)</f>
        <v>0</v>
      </c>
      <c r="AA358" s="26">
        <f>IF(AP358="1",BG358,0)</f>
        <v>0</v>
      </c>
      <c r="AB358" s="26">
        <f>IF(AP358="1",BH358,0)</f>
        <v>0</v>
      </c>
      <c r="AC358" s="26">
        <f>IF(AP358="7",BG358,0)</f>
        <v>0</v>
      </c>
      <c r="AD358" s="26">
        <f>IF(AP358="7",BH358,0)</f>
        <v>0</v>
      </c>
      <c r="AE358" s="26">
        <f>IF(AP358="2",BG358,0)</f>
        <v>0</v>
      </c>
      <c r="AF358" s="26">
        <f>IF(AP358="2",BH358,0)</f>
        <v>0</v>
      </c>
      <c r="AG358" s="26">
        <f>IF(AP358="0",BI358,0)</f>
        <v>0</v>
      </c>
      <c r="AH358" s="24" t="s">
        <v>273</v>
      </c>
      <c r="AI358" s="16">
        <f>IF(AM358=0,K358,0)</f>
        <v>0</v>
      </c>
      <c r="AJ358" s="16">
        <f>IF(AM358=15,K358,0)</f>
        <v>0</v>
      </c>
      <c r="AK358" s="16">
        <f>IF(AM358=21,K358,0)</f>
        <v>0</v>
      </c>
      <c r="AM358" s="26">
        <v>15</v>
      </c>
      <c r="AN358" s="26">
        <f>H358*0</f>
        <v>0</v>
      </c>
      <c r="AO358" s="26">
        <f>H358*(1-0)</f>
        <v>0</v>
      </c>
      <c r="AP358" s="27" t="s">
        <v>7</v>
      </c>
      <c r="AU358" s="26">
        <f>AV358+AW358</f>
        <v>0</v>
      </c>
      <c r="AV358" s="26">
        <f>G358*AN358</f>
        <v>0</v>
      </c>
      <c r="AW358" s="26">
        <f>G358*AO358</f>
        <v>0</v>
      </c>
      <c r="AX358" s="29" t="s">
        <v>912</v>
      </c>
      <c r="AY358" s="29" t="s">
        <v>930</v>
      </c>
      <c r="AZ358" s="24" t="s">
        <v>937</v>
      </c>
      <c r="BB358" s="26">
        <f>AV358+AW358</f>
        <v>0</v>
      </c>
      <c r="BC358" s="26">
        <f>H358/(100-BD358)*100</f>
        <v>0</v>
      </c>
      <c r="BD358" s="26">
        <v>0</v>
      </c>
      <c r="BE358" s="26">
        <f>M358</f>
        <v>0</v>
      </c>
      <c r="BG358" s="16">
        <f>G358*AN358</f>
        <v>0</v>
      </c>
      <c r="BH358" s="16">
        <f>G358*AO358</f>
        <v>0</v>
      </c>
      <c r="BI358" s="16">
        <f>G358*H358</f>
        <v>0</v>
      </c>
      <c r="BJ358" s="16" t="s">
        <v>945</v>
      </c>
      <c r="BK358" s="26" t="s">
        <v>461</v>
      </c>
    </row>
    <row r="359" spans="1:14" s="58" customFormat="1" ht="12.75">
      <c r="A359" s="57"/>
      <c r="C359" s="59" t="s">
        <v>991</v>
      </c>
      <c r="D359" s="232" t="s">
        <v>1109</v>
      </c>
      <c r="E359" s="233"/>
      <c r="F359" s="233"/>
      <c r="G359" s="233"/>
      <c r="H359" s="233"/>
      <c r="I359" s="233"/>
      <c r="J359" s="233"/>
      <c r="K359" s="233"/>
      <c r="L359" s="233"/>
      <c r="M359" s="233"/>
      <c r="N359" s="57"/>
    </row>
    <row r="360" spans="1:63" ht="12.75">
      <c r="A360" s="4" t="s">
        <v>200</v>
      </c>
      <c r="B360" s="12" t="s">
        <v>273</v>
      </c>
      <c r="C360" s="53" t="s">
        <v>479</v>
      </c>
      <c r="D360" s="230" t="s">
        <v>763</v>
      </c>
      <c r="E360" s="231"/>
      <c r="F360" s="62" t="s">
        <v>852</v>
      </c>
      <c r="G360" s="104">
        <v>2</v>
      </c>
      <c r="H360" s="104"/>
      <c r="I360" s="16">
        <f>G360*AN360</f>
        <v>0</v>
      </c>
      <c r="J360" s="16">
        <f>G360*AO360</f>
        <v>0</v>
      </c>
      <c r="K360" s="126">
        <f>G360*H360</f>
        <v>0</v>
      </c>
      <c r="L360" s="16">
        <v>0</v>
      </c>
      <c r="M360" s="16">
        <f>G360*L360</f>
        <v>0</v>
      </c>
      <c r="N360" s="5"/>
      <c r="Y360" s="26">
        <f>IF(AP360="5",BI360,0)</f>
        <v>0</v>
      </c>
      <c r="AA360" s="26">
        <f>IF(AP360="1",BG360,0)</f>
        <v>0</v>
      </c>
      <c r="AB360" s="26">
        <f>IF(AP360="1",BH360,0)</f>
        <v>0</v>
      </c>
      <c r="AC360" s="26">
        <f>IF(AP360="7",BG360,0)</f>
        <v>0</v>
      </c>
      <c r="AD360" s="26">
        <f>IF(AP360="7",BH360,0)</f>
        <v>0</v>
      </c>
      <c r="AE360" s="26">
        <f>IF(AP360="2",BG360,0)</f>
        <v>0</v>
      </c>
      <c r="AF360" s="26">
        <f>IF(AP360="2",BH360,0)</f>
        <v>0</v>
      </c>
      <c r="AG360" s="26">
        <f>IF(AP360="0",BI360,0)</f>
        <v>0</v>
      </c>
      <c r="AH360" s="24" t="s">
        <v>273</v>
      </c>
      <c r="AI360" s="16">
        <f>IF(AM360=0,K360,0)</f>
        <v>0</v>
      </c>
      <c r="AJ360" s="16">
        <f>IF(AM360=15,K360,0)</f>
        <v>0</v>
      </c>
      <c r="AK360" s="16">
        <f>IF(AM360=21,K360,0)</f>
        <v>0</v>
      </c>
      <c r="AM360" s="26">
        <v>15</v>
      </c>
      <c r="AN360" s="26">
        <f>H360*0</f>
        <v>0</v>
      </c>
      <c r="AO360" s="26">
        <f>H360*(1-0)</f>
        <v>0</v>
      </c>
      <c r="AP360" s="27" t="s">
        <v>7</v>
      </c>
      <c r="AU360" s="26">
        <f>AV360+AW360</f>
        <v>0</v>
      </c>
      <c r="AV360" s="26">
        <f>G360*AN360</f>
        <v>0</v>
      </c>
      <c r="AW360" s="26">
        <f>G360*AO360</f>
        <v>0</v>
      </c>
      <c r="AX360" s="29" t="s">
        <v>912</v>
      </c>
      <c r="AY360" s="29" t="s">
        <v>930</v>
      </c>
      <c r="AZ360" s="24" t="s">
        <v>937</v>
      </c>
      <c r="BB360" s="26">
        <f>AV360+AW360</f>
        <v>0</v>
      </c>
      <c r="BC360" s="26">
        <f>H360/(100-BD360)*100</f>
        <v>0</v>
      </c>
      <c r="BD360" s="26">
        <v>0</v>
      </c>
      <c r="BE360" s="26">
        <f>M360</f>
        <v>0</v>
      </c>
      <c r="BG360" s="16">
        <f>G360*AN360</f>
        <v>0</v>
      </c>
      <c r="BH360" s="16">
        <f>G360*AO360</f>
        <v>0</v>
      </c>
      <c r="BI360" s="16">
        <f>G360*H360</f>
        <v>0</v>
      </c>
      <c r="BJ360" s="16" t="s">
        <v>945</v>
      </c>
      <c r="BK360" s="26" t="s">
        <v>461</v>
      </c>
    </row>
    <row r="361" spans="1:14" s="58" customFormat="1" ht="12.75">
      <c r="A361" s="57"/>
      <c r="C361" s="59" t="s">
        <v>991</v>
      </c>
      <c r="D361" s="232" t="s">
        <v>1107</v>
      </c>
      <c r="E361" s="233"/>
      <c r="F361" s="233"/>
      <c r="G361" s="233"/>
      <c r="H361" s="233"/>
      <c r="I361" s="233"/>
      <c r="J361" s="233"/>
      <c r="K361" s="233"/>
      <c r="L361" s="233"/>
      <c r="M361" s="233"/>
      <c r="N361" s="57"/>
    </row>
    <row r="362" spans="1:63" ht="12.75">
      <c r="A362" s="4" t="s">
        <v>201</v>
      </c>
      <c r="B362" s="12" t="s">
        <v>273</v>
      </c>
      <c r="C362" s="53" t="s">
        <v>480</v>
      </c>
      <c r="D362" s="230" t="s">
        <v>764</v>
      </c>
      <c r="E362" s="231"/>
      <c r="F362" s="62" t="s">
        <v>852</v>
      </c>
      <c r="G362" s="104">
        <v>3</v>
      </c>
      <c r="H362" s="104"/>
      <c r="I362" s="16">
        <f>G362*AN362</f>
        <v>0</v>
      </c>
      <c r="J362" s="16">
        <f>G362*AO362</f>
        <v>0</v>
      </c>
      <c r="K362" s="126">
        <f>G362*H362</f>
        <v>0</v>
      </c>
      <c r="L362" s="16">
        <v>0</v>
      </c>
      <c r="M362" s="16">
        <f>G362*L362</f>
        <v>0</v>
      </c>
      <c r="N362" s="5"/>
      <c r="Y362" s="26">
        <f>IF(AP362="5",BI362,0)</f>
        <v>0</v>
      </c>
      <c r="AA362" s="26">
        <f>IF(AP362="1",BG362,0)</f>
        <v>0</v>
      </c>
      <c r="AB362" s="26">
        <f>IF(AP362="1",BH362,0)</f>
        <v>0</v>
      </c>
      <c r="AC362" s="26">
        <f>IF(AP362="7",BG362,0)</f>
        <v>0</v>
      </c>
      <c r="AD362" s="26">
        <f>IF(AP362="7",BH362,0)</f>
        <v>0</v>
      </c>
      <c r="AE362" s="26">
        <f>IF(AP362="2",BG362,0)</f>
        <v>0</v>
      </c>
      <c r="AF362" s="26">
        <f>IF(AP362="2",BH362,0)</f>
        <v>0</v>
      </c>
      <c r="AG362" s="26">
        <f>IF(AP362="0",BI362,0)</f>
        <v>0</v>
      </c>
      <c r="AH362" s="24" t="s">
        <v>273</v>
      </c>
      <c r="AI362" s="16">
        <f>IF(AM362=0,K362,0)</f>
        <v>0</v>
      </c>
      <c r="AJ362" s="16">
        <f>IF(AM362=15,K362,0)</f>
        <v>0</v>
      </c>
      <c r="AK362" s="16">
        <f>IF(AM362=21,K362,0)</f>
        <v>0</v>
      </c>
      <c r="AM362" s="26">
        <v>15</v>
      </c>
      <c r="AN362" s="26">
        <f>H362*0</f>
        <v>0</v>
      </c>
      <c r="AO362" s="26">
        <f>H362*(1-0)</f>
        <v>0</v>
      </c>
      <c r="AP362" s="27" t="s">
        <v>7</v>
      </c>
      <c r="AU362" s="26">
        <f>AV362+AW362</f>
        <v>0</v>
      </c>
      <c r="AV362" s="26">
        <f>G362*AN362</f>
        <v>0</v>
      </c>
      <c r="AW362" s="26">
        <f>G362*AO362</f>
        <v>0</v>
      </c>
      <c r="AX362" s="29" t="s">
        <v>912</v>
      </c>
      <c r="AY362" s="29" t="s">
        <v>930</v>
      </c>
      <c r="AZ362" s="24" t="s">
        <v>937</v>
      </c>
      <c r="BB362" s="26">
        <f>AV362+AW362</f>
        <v>0</v>
      </c>
      <c r="BC362" s="26">
        <f>H362/(100-BD362)*100</f>
        <v>0</v>
      </c>
      <c r="BD362" s="26">
        <v>0</v>
      </c>
      <c r="BE362" s="26">
        <f>M362</f>
        <v>0</v>
      </c>
      <c r="BG362" s="16">
        <f>G362*AN362</f>
        <v>0</v>
      </c>
      <c r="BH362" s="16">
        <f>G362*AO362</f>
        <v>0</v>
      </c>
      <c r="BI362" s="16">
        <f>G362*H362</f>
        <v>0</v>
      </c>
      <c r="BJ362" s="16" t="s">
        <v>945</v>
      </c>
      <c r="BK362" s="26" t="s">
        <v>461</v>
      </c>
    </row>
    <row r="363" spans="1:14" s="58" customFormat="1" ht="12.75">
      <c r="A363" s="57"/>
      <c r="C363" s="59" t="s">
        <v>991</v>
      </c>
      <c r="D363" s="232" t="s">
        <v>1110</v>
      </c>
      <c r="E363" s="233"/>
      <c r="F363" s="233"/>
      <c r="G363" s="233"/>
      <c r="H363" s="233"/>
      <c r="I363" s="233"/>
      <c r="J363" s="233"/>
      <c r="K363" s="233"/>
      <c r="L363" s="233"/>
      <c r="M363" s="233"/>
      <c r="N363" s="57"/>
    </row>
    <row r="364" spans="1:46" ht="12.75">
      <c r="A364" s="3"/>
      <c r="B364" s="11" t="s">
        <v>273</v>
      </c>
      <c r="C364" s="52" t="s">
        <v>33</v>
      </c>
      <c r="D364" s="228" t="s">
        <v>765</v>
      </c>
      <c r="E364" s="229"/>
      <c r="F364" s="61" t="s">
        <v>6</v>
      </c>
      <c r="G364" s="61" t="s">
        <v>6</v>
      </c>
      <c r="H364" s="61" t="s">
        <v>6</v>
      </c>
      <c r="I364" s="31">
        <f>SUM(I365:I366)</f>
        <v>0</v>
      </c>
      <c r="J364" s="31">
        <f>SUM(J365:J366)</f>
        <v>0</v>
      </c>
      <c r="K364" s="128">
        <f>SUM(K365:K366)</f>
        <v>0</v>
      </c>
      <c r="L364" s="24"/>
      <c r="M364" s="31">
        <f>SUM(M365:M366)</f>
        <v>2.41598464</v>
      </c>
      <c r="N364" s="5"/>
      <c r="AH364" s="24" t="s">
        <v>273</v>
      </c>
      <c r="AR364" s="31">
        <f>SUM(AI365:AI366)</f>
        <v>0</v>
      </c>
      <c r="AS364" s="31">
        <f>SUM(AJ365:AJ366)</f>
        <v>0</v>
      </c>
      <c r="AT364" s="31">
        <f>SUM(AK365:AK366)</f>
        <v>0</v>
      </c>
    </row>
    <row r="365" spans="1:63" ht="12.75">
      <c r="A365" s="4" t="s">
        <v>202</v>
      </c>
      <c r="B365" s="12" t="s">
        <v>273</v>
      </c>
      <c r="C365" s="53" t="s">
        <v>481</v>
      </c>
      <c r="D365" s="230" t="s">
        <v>766</v>
      </c>
      <c r="E365" s="231"/>
      <c r="F365" s="62" t="s">
        <v>848</v>
      </c>
      <c r="G365" s="104">
        <v>0.9344</v>
      </c>
      <c r="H365" s="104"/>
      <c r="I365" s="16">
        <f>G365*AN365</f>
        <v>0</v>
      </c>
      <c r="J365" s="16">
        <f>G365*AO365</f>
        <v>0</v>
      </c>
      <c r="K365" s="126">
        <f>G365*H365</f>
        <v>0</v>
      </c>
      <c r="L365" s="16">
        <v>0</v>
      </c>
      <c r="M365" s="16">
        <f>G365*L365</f>
        <v>0</v>
      </c>
      <c r="N365" s="5"/>
      <c r="Y365" s="26">
        <f>IF(AP365="5",BI365,0)</f>
        <v>0</v>
      </c>
      <c r="AA365" s="26">
        <f>IF(AP365="1",BG365,0)</f>
        <v>0</v>
      </c>
      <c r="AB365" s="26">
        <f>IF(AP365="1",BH365,0)</f>
        <v>0</v>
      </c>
      <c r="AC365" s="26">
        <f>IF(AP365="7",BG365,0)</f>
        <v>0</v>
      </c>
      <c r="AD365" s="26">
        <f>IF(AP365="7",BH365,0)</f>
        <v>0</v>
      </c>
      <c r="AE365" s="26">
        <f>IF(AP365="2",BG365,0)</f>
        <v>0</v>
      </c>
      <c r="AF365" s="26">
        <f>IF(AP365="2",BH365,0)</f>
        <v>0</v>
      </c>
      <c r="AG365" s="26">
        <f>IF(AP365="0",BI365,0)</f>
        <v>0</v>
      </c>
      <c r="AH365" s="24" t="s">
        <v>273</v>
      </c>
      <c r="AI365" s="16">
        <f>IF(AM365=0,K365,0)</f>
        <v>0</v>
      </c>
      <c r="AJ365" s="16">
        <f>IF(AM365=15,K365,0)</f>
        <v>0</v>
      </c>
      <c r="AK365" s="16">
        <f>IF(AM365=21,K365,0)</f>
        <v>0</v>
      </c>
      <c r="AM365" s="26">
        <v>15</v>
      </c>
      <c r="AN365" s="26">
        <f>H365*0.0304628077178975</f>
        <v>0</v>
      </c>
      <c r="AO365" s="26">
        <f>H365*(1-0.0304628077178975)</f>
        <v>0</v>
      </c>
      <c r="AP365" s="27" t="s">
        <v>7</v>
      </c>
      <c r="AU365" s="26">
        <f>AV365+AW365</f>
        <v>0</v>
      </c>
      <c r="AV365" s="26">
        <f>G365*AN365</f>
        <v>0</v>
      </c>
      <c r="AW365" s="26">
        <f>G365*AO365</f>
        <v>0</v>
      </c>
      <c r="AX365" s="29" t="s">
        <v>913</v>
      </c>
      <c r="AY365" s="29" t="s">
        <v>922</v>
      </c>
      <c r="AZ365" s="24" t="s">
        <v>937</v>
      </c>
      <c r="BB365" s="26">
        <f>AV365+AW365</f>
        <v>0</v>
      </c>
      <c r="BC365" s="26">
        <f>H365/(100-BD365)*100</f>
        <v>0</v>
      </c>
      <c r="BD365" s="26">
        <v>0</v>
      </c>
      <c r="BE365" s="26">
        <f>M365</f>
        <v>0</v>
      </c>
      <c r="BG365" s="16">
        <f>G365*AN365</f>
        <v>0</v>
      </c>
      <c r="BH365" s="16">
        <f>G365*AO365</f>
        <v>0</v>
      </c>
      <c r="BI365" s="16">
        <f>G365*H365</f>
        <v>0</v>
      </c>
      <c r="BJ365" s="16" t="s">
        <v>945</v>
      </c>
      <c r="BK365" s="26">
        <v>27</v>
      </c>
    </row>
    <row r="366" spans="1:63" ht="12.75">
      <c r="A366" s="4" t="s">
        <v>203</v>
      </c>
      <c r="B366" s="12" t="s">
        <v>273</v>
      </c>
      <c r="C366" s="53" t="s">
        <v>482</v>
      </c>
      <c r="D366" s="230" t="s">
        <v>767</v>
      </c>
      <c r="E366" s="231"/>
      <c r="F366" s="62" t="s">
        <v>848</v>
      </c>
      <c r="G366" s="104">
        <v>0.9344</v>
      </c>
      <c r="H366" s="104"/>
      <c r="I366" s="16">
        <f>G366*AN366</f>
        <v>0</v>
      </c>
      <c r="J366" s="16">
        <f>G366*AO366</f>
        <v>0</v>
      </c>
      <c r="K366" s="126">
        <f>G366*H366</f>
        <v>0</v>
      </c>
      <c r="L366" s="16">
        <v>2.5856</v>
      </c>
      <c r="M366" s="16">
        <f>G366*L366</f>
        <v>2.41598464</v>
      </c>
      <c r="N366" s="5"/>
      <c r="Y366" s="26">
        <f>IF(AP366="5",BI366,0)</f>
        <v>0</v>
      </c>
      <c r="AA366" s="26">
        <f>IF(AP366="1",BG366,0)</f>
        <v>0</v>
      </c>
      <c r="AB366" s="26">
        <f>IF(AP366="1",BH366,0)</f>
        <v>0</v>
      </c>
      <c r="AC366" s="26">
        <f>IF(AP366="7",BG366,0)</f>
        <v>0</v>
      </c>
      <c r="AD366" s="26">
        <f>IF(AP366="7",BH366,0)</f>
        <v>0</v>
      </c>
      <c r="AE366" s="26">
        <f>IF(AP366="2",BG366,0)</f>
        <v>0</v>
      </c>
      <c r="AF366" s="26">
        <f>IF(AP366="2",BH366,0)</f>
        <v>0</v>
      </c>
      <c r="AG366" s="26">
        <f>IF(AP366="0",BI366,0)</f>
        <v>0</v>
      </c>
      <c r="AH366" s="24" t="s">
        <v>273</v>
      </c>
      <c r="AI366" s="16">
        <f>IF(AM366=0,K366,0)</f>
        <v>0</v>
      </c>
      <c r="AJ366" s="16">
        <f>IF(AM366=15,K366,0)</f>
        <v>0</v>
      </c>
      <c r="AK366" s="16">
        <f>IF(AM366=21,K366,0)</f>
        <v>0</v>
      </c>
      <c r="AM366" s="26">
        <v>15</v>
      </c>
      <c r="AN366" s="26">
        <f>H366*0.950525213177259</f>
        <v>0</v>
      </c>
      <c r="AO366" s="26">
        <f>H366*(1-0.950525213177259)</f>
        <v>0</v>
      </c>
      <c r="AP366" s="27" t="s">
        <v>7</v>
      </c>
      <c r="AU366" s="26">
        <f>AV366+AW366</f>
        <v>0</v>
      </c>
      <c r="AV366" s="26">
        <f>G366*AN366</f>
        <v>0</v>
      </c>
      <c r="AW366" s="26">
        <f>G366*AO366</f>
        <v>0</v>
      </c>
      <c r="AX366" s="29" t="s">
        <v>913</v>
      </c>
      <c r="AY366" s="29" t="s">
        <v>922</v>
      </c>
      <c r="AZ366" s="24" t="s">
        <v>937</v>
      </c>
      <c r="BB366" s="26">
        <f>AV366+AW366</f>
        <v>0</v>
      </c>
      <c r="BC366" s="26">
        <f>H366/(100-BD366)*100</f>
        <v>0</v>
      </c>
      <c r="BD366" s="26">
        <v>0</v>
      </c>
      <c r="BE366" s="26">
        <f>M366</f>
        <v>2.41598464</v>
      </c>
      <c r="BG366" s="16">
        <f>G366*AN366</f>
        <v>0</v>
      </c>
      <c r="BH366" s="16">
        <f>G366*AO366</f>
        <v>0</v>
      </c>
      <c r="BI366" s="16">
        <f>G366*H366</f>
        <v>0</v>
      </c>
      <c r="BJ366" s="16" t="s">
        <v>945</v>
      </c>
      <c r="BK366" s="26">
        <v>27</v>
      </c>
    </row>
    <row r="367" spans="1:14" s="58" customFormat="1" ht="12.75">
      <c r="A367" s="57"/>
      <c r="C367" s="59" t="s">
        <v>991</v>
      </c>
      <c r="D367" s="232" t="s">
        <v>1111</v>
      </c>
      <c r="E367" s="233"/>
      <c r="F367" s="233"/>
      <c r="G367" s="233"/>
      <c r="H367" s="233"/>
      <c r="I367" s="233"/>
      <c r="J367" s="233"/>
      <c r="K367" s="233"/>
      <c r="L367" s="233"/>
      <c r="M367" s="233"/>
      <c r="N367" s="57"/>
    </row>
    <row r="368" spans="1:46" ht="12.75">
      <c r="A368" s="3"/>
      <c r="B368" s="11" t="s">
        <v>273</v>
      </c>
      <c r="C368" s="52"/>
      <c r="D368" s="228" t="s">
        <v>768</v>
      </c>
      <c r="E368" s="229"/>
      <c r="F368" s="61" t="s">
        <v>6</v>
      </c>
      <c r="G368" s="61" t="s">
        <v>6</v>
      </c>
      <c r="H368" s="61" t="s">
        <v>6</v>
      </c>
      <c r="I368" s="31">
        <f>SUM(I369:I447)</f>
        <v>0</v>
      </c>
      <c r="J368" s="31">
        <f>SUM(J369:J447)</f>
        <v>0</v>
      </c>
      <c r="K368" s="128">
        <f>SUM(K369:K447)</f>
        <v>0</v>
      </c>
      <c r="L368" s="24"/>
      <c r="M368" s="31">
        <f>SUM(M369:M447)</f>
        <v>11.333857015999998</v>
      </c>
      <c r="N368" s="5"/>
      <c r="AH368" s="24" t="s">
        <v>273</v>
      </c>
      <c r="AR368" s="31">
        <f>SUM(AI369:AI447)</f>
        <v>0</v>
      </c>
      <c r="AS368" s="31">
        <f>SUM(AJ369:AJ447)</f>
        <v>0</v>
      </c>
      <c r="AT368" s="31">
        <f>SUM(AK369:AK447)</f>
        <v>0</v>
      </c>
    </row>
    <row r="369" spans="1:63" ht="12.75">
      <c r="A369" s="6" t="s">
        <v>204</v>
      </c>
      <c r="B369" s="13" t="s">
        <v>273</v>
      </c>
      <c r="C369" s="54" t="s">
        <v>483</v>
      </c>
      <c r="D369" s="238" t="s">
        <v>769</v>
      </c>
      <c r="E369" s="239"/>
      <c r="F369" s="63" t="s">
        <v>847</v>
      </c>
      <c r="G369" s="105">
        <v>88.41</v>
      </c>
      <c r="H369" s="105"/>
      <c r="I369" s="17">
        <f>G369*AN369</f>
        <v>0</v>
      </c>
      <c r="J369" s="17">
        <f>G369*AO369</f>
        <v>0</v>
      </c>
      <c r="K369" s="126">
        <f>G369*H369</f>
        <v>0</v>
      </c>
      <c r="L369" s="17">
        <v>0.00462</v>
      </c>
      <c r="M369" s="17">
        <f>G369*L369</f>
        <v>0.4084542</v>
      </c>
      <c r="N369" s="5"/>
      <c r="Y369" s="26">
        <f>IF(AP369="5",BI369,0)</f>
        <v>0</v>
      </c>
      <c r="AA369" s="26">
        <f>IF(AP369="1",BG369,0)</f>
        <v>0</v>
      </c>
      <c r="AB369" s="26">
        <f>IF(AP369="1",BH369,0)</f>
        <v>0</v>
      </c>
      <c r="AC369" s="26">
        <f>IF(AP369="7",BG369,0)</f>
        <v>0</v>
      </c>
      <c r="AD369" s="26">
        <f>IF(AP369="7",BH369,0)</f>
        <v>0</v>
      </c>
      <c r="AE369" s="26">
        <f>IF(AP369="2",BG369,0)</f>
        <v>0</v>
      </c>
      <c r="AF369" s="26">
        <f>IF(AP369="2",BH369,0)</f>
        <v>0</v>
      </c>
      <c r="AG369" s="26">
        <f>IF(AP369="0",BI369,0)</f>
        <v>0</v>
      </c>
      <c r="AH369" s="24" t="s">
        <v>273</v>
      </c>
      <c r="AI369" s="17">
        <f>IF(AM369=0,K369,0)</f>
        <v>0</v>
      </c>
      <c r="AJ369" s="17">
        <f>IF(AM369=15,K369,0)</f>
        <v>0</v>
      </c>
      <c r="AK369" s="17">
        <f>IF(AM369=21,K369,0)</f>
        <v>0</v>
      </c>
      <c r="AM369" s="26">
        <v>15</v>
      </c>
      <c r="AN369" s="26">
        <f>H369*1</f>
        <v>0</v>
      </c>
      <c r="AO369" s="26">
        <f>H369*(1-1)</f>
        <v>0</v>
      </c>
      <c r="AP369" s="28" t="s">
        <v>881</v>
      </c>
      <c r="AU369" s="26">
        <f>AV369+AW369</f>
        <v>0</v>
      </c>
      <c r="AV369" s="26">
        <f>G369*AN369</f>
        <v>0</v>
      </c>
      <c r="AW369" s="26">
        <f>G369*AO369</f>
        <v>0</v>
      </c>
      <c r="AX369" s="29" t="s">
        <v>914</v>
      </c>
      <c r="AY369" s="29" t="s">
        <v>931</v>
      </c>
      <c r="AZ369" s="24" t="s">
        <v>937</v>
      </c>
      <c r="BB369" s="26">
        <f>AV369+AW369</f>
        <v>0</v>
      </c>
      <c r="BC369" s="26">
        <f>H369/(100-BD369)*100</f>
        <v>0</v>
      </c>
      <c r="BD369" s="26">
        <v>0</v>
      </c>
      <c r="BE369" s="26">
        <f>M369</f>
        <v>0.4084542</v>
      </c>
      <c r="BG369" s="17">
        <f>G369*AN369</f>
        <v>0</v>
      </c>
      <c r="BH369" s="17">
        <f>G369*AO369</f>
        <v>0</v>
      </c>
      <c r="BI369" s="17">
        <f>G369*H369</f>
        <v>0</v>
      </c>
      <c r="BJ369" s="17" t="s">
        <v>946</v>
      </c>
      <c r="BK369" s="26"/>
    </row>
    <row r="370" spans="1:14" s="58" customFormat="1" ht="12.75">
      <c r="A370" s="57"/>
      <c r="C370" s="59" t="s">
        <v>991</v>
      </c>
      <c r="D370" s="232" t="s">
        <v>1116</v>
      </c>
      <c r="E370" s="233"/>
      <c r="F370" s="233"/>
      <c r="G370" s="233"/>
      <c r="H370" s="233"/>
      <c r="I370" s="233"/>
      <c r="J370" s="233"/>
      <c r="K370" s="233"/>
      <c r="L370" s="233"/>
      <c r="M370" s="233"/>
      <c r="N370" s="57"/>
    </row>
    <row r="371" spans="1:63" ht="12.75">
      <c r="A371" s="6" t="s">
        <v>205</v>
      </c>
      <c r="B371" s="13" t="s">
        <v>273</v>
      </c>
      <c r="C371" s="54" t="s">
        <v>484</v>
      </c>
      <c r="D371" s="238" t="s">
        <v>770</v>
      </c>
      <c r="E371" s="239"/>
      <c r="F371" s="63" t="s">
        <v>847</v>
      </c>
      <c r="G371" s="105">
        <v>21.21</v>
      </c>
      <c r="H371" s="105"/>
      <c r="I371" s="17">
        <f>G371*AN371</f>
        <v>0</v>
      </c>
      <c r="J371" s="17">
        <f>G371*AO371</f>
        <v>0</v>
      </c>
      <c r="K371" s="126">
        <f>G371*H371</f>
        <v>0</v>
      </c>
      <c r="L371" s="17">
        <v>0.00288</v>
      </c>
      <c r="M371" s="17">
        <f>G371*L371</f>
        <v>0.06108480000000001</v>
      </c>
      <c r="N371" s="5"/>
      <c r="Y371" s="26">
        <f>IF(AP371="5",BI371,0)</f>
        <v>0</v>
      </c>
      <c r="AA371" s="26">
        <f>IF(AP371="1",BG371,0)</f>
        <v>0</v>
      </c>
      <c r="AB371" s="26">
        <f>IF(AP371="1",BH371,0)</f>
        <v>0</v>
      </c>
      <c r="AC371" s="26">
        <f>IF(AP371="7",BG371,0)</f>
        <v>0</v>
      </c>
      <c r="AD371" s="26">
        <f>IF(AP371="7",BH371,0)</f>
        <v>0</v>
      </c>
      <c r="AE371" s="26">
        <f>IF(AP371="2",BG371,0)</f>
        <v>0</v>
      </c>
      <c r="AF371" s="26">
        <f>IF(AP371="2",BH371,0)</f>
        <v>0</v>
      </c>
      <c r="AG371" s="26">
        <f>IF(AP371="0",BI371,0)</f>
        <v>0</v>
      </c>
      <c r="AH371" s="24" t="s">
        <v>273</v>
      </c>
      <c r="AI371" s="17">
        <f>IF(AM371=0,K371,0)</f>
        <v>0</v>
      </c>
      <c r="AJ371" s="17">
        <f>IF(AM371=15,K371,0)</f>
        <v>0</v>
      </c>
      <c r="AK371" s="17">
        <f>IF(AM371=21,K371,0)</f>
        <v>0</v>
      </c>
      <c r="AM371" s="26">
        <v>15</v>
      </c>
      <c r="AN371" s="26">
        <f>H371*1</f>
        <v>0</v>
      </c>
      <c r="AO371" s="26">
        <f>H371*(1-1)</f>
        <v>0</v>
      </c>
      <c r="AP371" s="28" t="s">
        <v>881</v>
      </c>
      <c r="AU371" s="26">
        <f>AV371+AW371</f>
        <v>0</v>
      </c>
      <c r="AV371" s="26">
        <f>G371*AN371</f>
        <v>0</v>
      </c>
      <c r="AW371" s="26">
        <f>G371*AO371</f>
        <v>0</v>
      </c>
      <c r="AX371" s="29" t="s">
        <v>914</v>
      </c>
      <c r="AY371" s="29" t="s">
        <v>931</v>
      </c>
      <c r="AZ371" s="24" t="s">
        <v>937</v>
      </c>
      <c r="BB371" s="26">
        <f>AV371+AW371</f>
        <v>0</v>
      </c>
      <c r="BC371" s="26">
        <f>H371/(100-BD371)*100</f>
        <v>0</v>
      </c>
      <c r="BD371" s="26">
        <v>0</v>
      </c>
      <c r="BE371" s="26">
        <f>M371</f>
        <v>0.06108480000000001</v>
      </c>
      <c r="BG371" s="17">
        <f>G371*AN371</f>
        <v>0</v>
      </c>
      <c r="BH371" s="17">
        <f>G371*AO371</f>
        <v>0</v>
      </c>
      <c r="BI371" s="17">
        <f>G371*H371</f>
        <v>0</v>
      </c>
      <c r="BJ371" s="17" t="s">
        <v>946</v>
      </c>
      <c r="BK371" s="26"/>
    </row>
    <row r="372" spans="1:14" s="58" customFormat="1" ht="38.25" customHeight="1">
      <c r="A372" s="57"/>
      <c r="C372" s="59" t="s">
        <v>991</v>
      </c>
      <c r="D372" s="232" t="s">
        <v>1117</v>
      </c>
      <c r="E372" s="233"/>
      <c r="F372" s="233"/>
      <c r="G372" s="233"/>
      <c r="H372" s="233"/>
      <c r="I372" s="233"/>
      <c r="J372" s="233"/>
      <c r="K372" s="233"/>
      <c r="L372" s="233"/>
      <c r="M372" s="233"/>
      <c r="N372" s="57"/>
    </row>
    <row r="373" spans="1:63" ht="12.75">
      <c r="A373" s="6" t="s">
        <v>206</v>
      </c>
      <c r="B373" s="13" t="s">
        <v>273</v>
      </c>
      <c r="C373" s="54" t="s">
        <v>485</v>
      </c>
      <c r="D373" s="238" t="s">
        <v>771</v>
      </c>
      <c r="E373" s="239"/>
      <c r="F373" s="63" t="s">
        <v>847</v>
      </c>
      <c r="G373" s="105">
        <v>1109.85</v>
      </c>
      <c r="H373" s="105"/>
      <c r="I373" s="17">
        <f>G373*AN373</f>
        <v>0</v>
      </c>
      <c r="J373" s="17">
        <f>G373*AO373</f>
        <v>0</v>
      </c>
      <c r="K373" s="126">
        <f>G373*H373</f>
        <v>0</v>
      </c>
      <c r="L373" s="17">
        <v>0.00324</v>
      </c>
      <c r="M373" s="17">
        <f>G373*L373</f>
        <v>3.5959139999999996</v>
      </c>
      <c r="N373" s="5"/>
      <c r="Y373" s="26">
        <f>IF(AP373="5",BI373,0)</f>
        <v>0</v>
      </c>
      <c r="AA373" s="26">
        <f>IF(AP373="1",BG373,0)</f>
        <v>0</v>
      </c>
      <c r="AB373" s="26">
        <f>IF(AP373="1",BH373,0)</f>
        <v>0</v>
      </c>
      <c r="AC373" s="26">
        <f>IF(AP373="7",BG373,0)</f>
        <v>0</v>
      </c>
      <c r="AD373" s="26">
        <f>IF(AP373="7",BH373,0)</f>
        <v>0</v>
      </c>
      <c r="AE373" s="26">
        <f>IF(AP373="2",BG373,0)</f>
        <v>0</v>
      </c>
      <c r="AF373" s="26">
        <f>IF(AP373="2",BH373,0)</f>
        <v>0</v>
      </c>
      <c r="AG373" s="26">
        <f>IF(AP373="0",BI373,0)</f>
        <v>0</v>
      </c>
      <c r="AH373" s="24" t="s">
        <v>273</v>
      </c>
      <c r="AI373" s="17">
        <f>IF(AM373=0,K373,0)</f>
        <v>0</v>
      </c>
      <c r="AJ373" s="17">
        <f>IF(AM373=15,K373,0)</f>
        <v>0</v>
      </c>
      <c r="AK373" s="17">
        <f>IF(AM373=21,K373,0)</f>
        <v>0</v>
      </c>
      <c r="AM373" s="26">
        <v>15</v>
      </c>
      <c r="AN373" s="26">
        <f>H373*1</f>
        <v>0</v>
      </c>
      <c r="AO373" s="26">
        <f>H373*(1-1)</f>
        <v>0</v>
      </c>
      <c r="AP373" s="28" t="s">
        <v>881</v>
      </c>
      <c r="AU373" s="26">
        <f>AV373+AW373</f>
        <v>0</v>
      </c>
      <c r="AV373" s="26">
        <f>G373*AN373</f>
        <v>0</v>
      </c>
      <c r="AW373" s="26">
        <f>G373*AO373</f>
        <v>0</v>
      </c>
      <c r="AX373" s="29" t="s">
        <v>914</v>
      </c>
      <c r="AY373" s="29" t="s">
        <v>931</v>
      </c>
      <c r="AZ373" s="24" t="s">
        <v>937</v>
      </c>
      <c r="BB373" s="26">
        <f>AV373+AW373</f>
        <v>0</v>
      </c>
      <c r="BC373" s="26">
        <f>H373/(100-BD373)*100</f>
        <v>0</v>
      </c>
      <c r="BD373" s="26">
        <v>0</v>
      </c>
      <c r="BE373" s="26">
        <f>M373</f>
        <v>3.5959139999999996</v>
      </c>
      <c r="BG373" s="17">
        <f>G373*AN373</f>
        <v>0</v>
      </c>
      <c r="BH373" s="17">
        <f>G373*AO373</f>
        <v>0</v>
      </c>
      <c r="BI373" s="17">
        <f>G373*H373</f>
        <v>0</v>
      </c>
      <c r="BJ373" s="17" t="s">
        <v>946</v>
      </c>
      <c r="BK373" s="26"/>
    </row>
    <row r="374" spans="1:14" s="58" customFormat="1" ht="38.25" customHeight="1">
      <c r="A374" s="57"/>
      <c r="C374" s="59" t="s">
        <v>991</v>
      </c>
      <c r="D374" s="232" t="s">
        <v>1118</v>
      </c>
      <c r="E374" s="233"/>
      <c r="F374" s="233"/>
      <c r="G374" s="233"/>
      <c r="H374" s="233"/>
      <c r="I374" s="233"/>
      <c r="J374" s="233"/>
      <c r="K374" s="233"/>
      <c r="L374" s="233"/>
      <c r="M374" s="233"/>
      <c r="N374" s="57"/>
    </row>
    <row r="375" spans="1:63" ht="12.75">
      <c r="A375" s="6" t="s">
        <v>207</v>
      </c>
      <c r="B375" s="13" t="s">
        <v>273</v>
      </c>
      <c r="C375" s="54" t="s">
        <v>486</v>
      </c>
      <c r="D375" s="238" t="s">
        <v>772</v>
      </c>
      <c r="E375" s="239"/>
      <c r="F375" s="63" t="s">
        <v>847</v>
      </c>
      <c r="G375" s="105">
        <v>40.971</v>
      </c>
      <c r="H375" s="105"/>
      <c r="I375" s="17">
        <f>G375*AN375</f>
        <v>0</v>
      </c>
      <c r="J375" s="17">
        <f>G375*AO375</f>
        <v>0</v>
      </c>
      <c r="K375" s="126">
        <f>G375*H375</f>
        <v>0</v>
      </c>
      <c r="L375" s="17">
        <v>0.00034</v>
      </c>
      <c r="M375" s="17">
        <f>G375*L375</f>
        <v>0.01393014</v>
      </c>
      <c r="N375" s="5"/>
      <c r="Y375" s="26">
        <f>IF(AP375="5",BI375,0)</f>
        <v>0</v>
      </c>
      <c r="AA375" s="26">
        <f>IF(AP375="1",BG375,0)</f>
        <v>0</v>
      </c>
      <c r="AB375" s="26">
        <f>IF(AP375="1",BH375,0)</f>
        <v>0</v>
      </c>
      <c r="AC375" s="26">
        <f>IF(AP375="7",BG375,0)</f>
        <v>0</v>
      </c>
      <c r="AD375" s="26">
        <f>IF(AP375="7",BH375,0)</f>
        <v>0</v>
      </c>
      <c r="AE375" s="26">
        <f>IF(AP375="2",BG375,0)</f>
        <v>0</v>
      </c>
      <c r="AF375" s="26">
        <f>IF(AP375="2",BH375,0)</f>
        <v>0</v>
      </c>
      <c r="AG375" s="26">
        <f>IF(AP375="0",BI375,0)</f>
        <v>0</v>
      </c>
      <c r="AH375" s="24" t="s">
        <v>273</v>
      </c>
      <c r="AI375" s="17">
        <f>IF(AM375=0,K375,0)</f>
        <v>0</v>
      </c>
      <c r="AJ375" s="17">
        <f>IF(AM375=15,K375,0)</f>
        <v>0</v>
      </c>
      <c r="AK375" s="17">
        <f>IF(AM375=21,K375,0)</f>
        <v>0</v>
      </c>
      <c r="AM375" s="26">
        <v>15</v>
      </c>
      <c r="AN375" s="26">
        <f>H375*1</f>
        <v>0</v>
      </c>
      <c r="AO375" s="26">
        <f>H375*(1-1)</f>
        <v>0</v>
      </c>
      <c r="AP375" s="28" t="s">
        <v>881</v>
      </c>
      <c r="AU375" s="26">
        <f>AV375+AW375</f>
        <v>0</v>
      </c>
      <c r="AV375" s="26">
        <f>G375*AN375</f>
        <v>0</v>
      </c>
      <c r="AW375" s="26">
        <f>G375*AO375</f>
        <v>0</v>
      </c>
      <c r="AX375" s="29" t="s">
        <v>914</v>
      </c>
      <c r="AY375" s="29" t="s">
        <v>931</v>
      </c>
      <c r="AZ375" s="24" t="s">
        <v>937</v>
      </c>
      <c r="BB375" s="26">
        <f>AV375+AW375</f>
        <v>0</v>
      </c>
      <c r="BC375" s="26">
        <f>H375/(100-BD375)*100</f>
        <v>0</v>
      </c>
      <c r="BD375" s="26">
        <v>0</v>
      </c>
      <c r="BE375" s="26">
        <f>M375</f>
        <v>0.01393014</v>
      </c>
      <c r="BG375" s="17">
        <f>G375*AN375</f>
        <v>0</v>
      </c>
      <c r="BH375" s="17">
        <f>G375*AO375</f>
        <v>0</v>
      </c>
      <c r="BI375" s="17">
        <f>G375*H375</f>
        <v>0</v>
      </c>
      <c r="BJ375" s="17" t="s">
        <v>946</v>
      </c>
      <c r="BK375" s="26"/>
    </row>
    <row r="376" spans="1:14" s="58" customFormat="1" ht="12.75">
      <c r="A376" s="57"/>
      <c r="C376" s="59" t="s">
        <v>991</v>
      </c>
      <c r="D376" s="232" t="s">
        <v>773</v>
      </c>
      <c r="E376" s="233"/>
      <c r="F376" s="233"/>
      <c r="G376" s="233"/>
      <c r="H376" s="233"/>
      <c r="I376" s="233"/>
      <c r="J376" s="233"/>
      <c r="K376" s="233"/>
      <c r="L376" s="233"/>
      <c r="M376" s="233"/>
      <c r="N376" s="57"/>
    </row>
    <row r="377" spans="1:63" ht="12.75">
      <c r="A377" s="6" t="s">
        <v>208</v>
      </c>
      <c r="B377" s="13" t="s">
        <v>273</v>
      </c>
      <c r="C377" s="54" t="s">
        <v>487</v>
      </c>
      <c r="D377" s="238" t="s">
        <v>774</v>
      </c>
      <c r="E377" s="239"/>
      <c r="F377" s="63" t="s">
        <v>847</v>
      </c>
      <c r="G377" s="105">
        <v>24.0933</v>
      </c>
      <c r="H377" s="105"/>
      <c r="I377" s="17">
        <f>G377*AN377</f>
        <v>0</v>
      </c>
      <c r="J377" s="17">
        <f>G377*AO377</f>
        <v>0</v>
      </c>
      <c r="K377" s="126">
        <f>G377*H377</f>
        <v>0</v>
      </c>
      <c r="L377" s="17">
        <v>0.00102</v>
      </c>
      <c r="M377" s="17">
        <f>G377*L377</f>
        <v>0.024575166000000002</v>
      </c>
      <c r="N377" s="5"/>
      <c r="Y377" s="26">
        <f>IF(AP377="5",BI377,0)</f>
        <v>0</v>
      </c>
      <c r="AA377" s="26">
        <f>IF(AP377="1",BG377,0)</f>
        <v>0</v>
      </c>
      <c r="AB377" s="26">
        <f>IF(AP377="1",BH377,0)</f>
        <v>0</v>
      </c>
      <c r="AC377" s="26">
        <f>IF(AP377="7",BG377,0)</f>
        <v>0</v>
      </c>
      <c r="AD377" s="26">
        <f>IF(AP377="7",BH377,0)</f>
        <v>0</v>
      </c>
      <c r="AE377" s="26">
        <f>IF(AP377="2",BG377,0)</f>
        <v>0</v>
      </c>
      <c r="AF377" s="26">
        <f>IF(AP377="2",BH377,0)</f>
        <v>0</v>
      </c>
      <c r="AG377" s="26">
        <f>IF(AP377="0",BI377,0)</f>
        <v>0</v>
      </c>
      <c r="AH377" s="24" t="s">
        <v>273</v>
      </c>
      <c r="AI377" s="17">
        <f>IF(AM377=0,K377,0)</f>
        <v>0</v>
      </c>
      <c r="AJ377" s="17">
        <f>IF(AM377=15,K377,0)</f>
        <v>0</v>
      </c>
      <c r="AK377" s="17">
        <f>IF(AM377=21,K377,0)</f>
        <v>0</v>
      </c>
      <c r="AM377" s="26">
        <v>15</v>
      </c>
      <c r="AN377" s="26">
        <f>H377*1</f>
        <v>0</v>
      </c>
      <c r="AO377" s="26">
        <f>H377*(1-1)</f>
        <v>0</v>
      </c>
      <c r="AP377" s="28" t="s">
        <v>881</v>
      </c>
      <c r="AU377" s="26">
        <f>AV377+AW377</f>
        <v>0</v>
      </c>
      <c r="AV377" s="26">
        <f>G377*AN377</f>
        <v>0</v>
      </c>
      <c r="AW377" s="26">
        <f>G377*AO377</f>
        <v>0</v>
      </c>
      <c r="AX377" s="29" t="s">
        <v>914</v>
      </c>
      <c r="AY377" s="29" t="s">
        <v>931</v>
      </c>
      <c r="AZ377" s="24" t="s">
        <v>937</v>
      </c>
      <c r="BB377" s="26">
        <f>AV377+AW377</f>
        <v>0</v>
      </c>
      <c r="BC377" s="26">
        <f>H377/(100-BD377)*100</f>
        <v>0</v>
      </c>
      <c r="BD377" s="26">
        <v>0</v>
      </c>
      <c r="BE377" s="26">
        <f>M377</f>
        <v>0.024575166000000002</v>
      </c>
      <c r="BG377" s="17">
        <f>G377*AN377</f>
        <v>0</v>
      </c>
      <c r="BH377" s="17">
        <f>G377*AO377</f>
        <v>0</v>
      </c>
      <c r="BI377" s="17">
        <f>G377*H377</f>
        <v>0</v>
      </c>
      <c r="BJ377" s="17" t="s">
        <v>946</v>
      </c>
      <c r="BK377" s="26"/>
    </row>
    <row r="378" spans="1:14" s="58" customFormat="1" ht="12.75">
      <c r="A378" s="57"/>
      <c r="C378" s="59" t="s">
        <v>991</v>
      </c>
      <c r="D378" s="232" t="s">
        <v>773</v>
      </c>
      <c r="E378" s="233"/>
      <c r="F378" s="233"/>
      <c r="G378" s="233"/>
      <c r="H378" s="233"/>
      <c r="I378" s="233"/>
      <c r="J378" s="233"/>
      <c r="K378" s="233"/>
      <c r="L378" s="233"/>
      <c r="M378" s="233"/>
      <c r="N378" s="57"/>
    </row>
    <row r="379" spans="1:63" ht="12.75">
      <c r="A379" s="6" t="s">
        <v>209</v>
      </c>
      <c r="B379" s="13" t="s">
        <v>273</v>
      </c>
      <c r="C379" s="54" t="s">
        <v>488</v>
      </c>
      <c r="D379" s="238" t="s">
        <v>775</v>
      </c>
      <c r="E379" s="239"/>
      <c r="F379" s="63" t="s">
        <v>848</v>
      </c>
      <c r="G379" s="105">
        <v>0.6768</v>
      </c>
      <c r="H379" s="105"/>
      <c r="I379" s="17">
        <f>G379*AN379</f>
        <v>0</v>
      </c>
      <c r="J379" s="17">
        <f>G379*AO379</f>
        <v>0</v>
      </c>
      <c r="K379" s="126">
        <f>G379*H379</f>
        <v>0</v>
      </c>
      <c r="L379" s="17">
        <v>0.02</v>
      </c>
      <c r="M379" s="17">
        <f>G379*L379</f>
        <v>0.013536</v>
      </c>
      <c r="N379" s="5"/>
      <c r="Y379" s="26">
        <f>IF(AP379="5",BI379,0)</f>
        <v>0</v>
      </c>
      <c r="AA379" s="26">
        <f>IF(AP379="1",BG379,0)</f>
        <v>0</v>
      </c>
      <c r="AB379" s="26">
        <f>IF(AP379="1",BH379,0)</f>
        <v>0</v>
      </c>
      <c r="AC379" s="26">
        <f>IF(AP379="7",BG379,0)</f>
        <v>0</v>
      </c>
      <c r="AD379" s="26">
        <f>IF(AP379="7",BH379,0)</f>
        <v>0</v>
      </c>
      <c r="AE379" s="26">
        <f>IF(AP379="2",BG379,0)</f>
        <v>0</v>
      </c>
      <c r="AF379" s="26">
        <f>IF(AP379="2",BH379,0)</f>
        <v>0</v>
      </c>
      <c r="AG379" s="26">
        <f>IF(AP379="0",BI379,0)</f>
        <v>0</v>
      </c>
      <c r="AH379" s="24" t="s">
        <v>273</v>
      </c>
      <c r="AI379" s="17">
        <f>IF(AM379=0,K379,0)</f>
        <v>0</v>
      </c>
      <c r="AJ379" s="17">
        <f>IF(AM379=15,K379,0)</f>
        <v>0</v>
      </c>
      <c r="AK379" s="17">
        <f>IF(AM379=21,K379,0)</f>
        <v>0</v>
      </c>
      <c r="AM379" s="26">
        <v>15</v>
      </c>
      <c r="AN379" s="26">
        <f>H379*1</f>
        <v>0</v>
      </c>
      <c r="AO379" s="26">
        <f>H379*(1-1)</f>
        <v>0</v>
      </c>
      <c r="AP379" s="28" t="s">
        <v>881</v>
      </c>
      <c r="AU379" s="26">
        <f>AV379+AW379</f>
        <v>0</v>
      </c>
      <c r="AV379" s="26">
        <f>G379*AN379</f>
        <v>0</v>
      </c>
      <c r="AW379" s="26">
        <f>G379*AO379</f>
        <v>0</v>
      </c>
      <c r="AX379" s="29" t="s">
        <v>914</v>
      </c>
      <c r="AY379" s="29" t="s">
        <v>931</v>
      </c>
      <c r="AZ379" s="24" t="s">
        <v>937</v>
      </c>
      <c r="BB379" s="26">
        <f>AV379+AW379</f>
        <v>0</v>
      </c>
      <c r="BC379" s="26">
        <f>H379/(100-BD379)*100</f>
        <v>0</v>
      </c>
      <c r="BD379" s="26">
        <v>0</v>
      </c>
      <c r="BE379" s="26">
        <f>M379</f>
        <v>0.013536</v>
      </c>
      <c r="BG379" s="17">
        <f>G379*AN379</f>
        <v>0</v>
      </c>
      <c r="BH379" s="17">
        <f>G379*AO379</f>
        <v>0</v>
      </c>
      <c r="BI379" s="17">
        <f>G379*H379</f>
        <v>0</v>
      </c>
      <c r="BJ379" s="17" t="s">
        <v>946</v>
      </c>
      <c r="BK379" s="26"/>
    </row>
    <row r="380" spans="1:14" s="58" customFormat="1" ht="12.75" customHeight="1">
      <c r="A380" s="57"/>
      <c r="C380" s="59" t="s">
        <v>991</v>
      </c>
      <c r="D380" s="232" t="s">
        <v>1122</v>
      </c>
      <c r="E380" s="233"/>
      <c r="F380" s="233"/>
      <c r="G380" s="233"/>
      <c r="H380" s="233"/>
      <c r="I380" s="233"/>
      <c r="J380" s="233"/>
      <c r="K380" s="233"/>
      <c r="L380" s="233"/>
      <c r="M380" s="233"/>
      <c r="N380" s="57"/>
    </row>
    <row r="381" spans="1:63" ht="12.75">
      <c r="A381" s="6" t="s">
        <v>210</v>
      </c>
      <c r="B381" s="13" t="s">
        <v>273</v>
      </c>
      <c r="C381" s="54" t="s">
        <v>489</v>
      </c>
      <c r="D381" s="238" t="s">
        <v>776</v>
      </c>
      <c r="E381" s="239"/>
      <c r="F381" s="63" t="s">
        <v>847</v>
      </c>
      <c r="G381" s="105">
        <v>37.695</v>
      </c>
      <c r="H381" s="105"/>
      <c r="I381" s="17">
        <f>G381*AN381</f>
        <v>0</v>
      </c>
      <c r="J381" s="17">
        <f>G381*AO381</f>
        <v>0</v>
      </c>
      <c r="K381" s="126">
        <f>G381*H381</f>
        <v>0</v>
      </c>
      <c r="L381" s="17">
        <v>0.01</v>
      </c>
      <c r="M381" s="17">
        <f>G381*L381</f>
        <v>0.37695</v>
      </c>
      <c r="N381" s="5"/>
      <c r="Y381" s="26">
        <f>IF(AP381="5",BI381,0)</f>
        <v>0</v>
      </c>
      <c r="AA381" s="26">
        <f>IF(AP381="1",BG381,0)</f>
        <v>0</v>
      </c>
      <c r="AB381" s="26">
        <f>IF(AP381="1",BH381,0)</f>
        <v>0</v>
      </c>
      <c r="AC381" s="26">
        <f>IF(AP381="7",BG381,0)</f>
        <v>0</v>
      </c>
      <c r="AD381" s="26">
        <f>IF(AP381="7",BH381,0)</f>
        <v>0</v>
      </c>
      <c r="AE381" s="26">
        <f>IF(AP381="2",BG381,0)</f>
        <v>0</v>
      </c>
      <c r="AF381" s="26">
        <f>IF(AP381="2",BH381,0)</f>
        <v>0</v>
      </c>
      <c r="AG381" s="26">
        <f>IF(AP381="0",BI381,0)</f>
        <v>0</v>
      </c>
      <c r="AH381" s="24" t="s">
        <v>273</v>
      </c>
      <c r="AI381" s="17">
        <f>IF(AM381=0,K381,0)</f>
        <v>0</v>
      </c>
      <c r="AJ381" s="17">
        <f>IF(AM381=15,K381,0)</f>
        <v>0</v>
      </c>
      <c r="AK381" s="17">
        <f>IF(AM381=21,K381,0)</f>
        <v>0</v>
      </c>
      <c r="AM381" s="26">
        <v>15</v>
      </c>
      <c r="AN381" s="26">
        <f>H381*1</f>
        <v>0</v>
      </c>
      <c r="AO381" s="26">
        <f>H381*(1-1)</f>
        <v>0</v>
      </c>
      <c r="AP381" s="28" t="s">
        <v>881</v>
      </c>
      <c r="AU381" s="26">
        <f>AV381+AW381</f>
        <v>0</v>
      </c>
      <c r="AV381" s="26">
        <f>G381*AN381</f>
        <v>0</v>
      </c>
      <c r="AW381" s="26">
        <f>G381*AO381</f>
        <v>0</v>
      </c>
      <c r="AX381" s="29" t="s">
        <v>914</v>
      </c>
      <c r="AY381" s="29" t="s">
        <v>931</v>
      </c>
      <c r="AZ381" s="24" t="s">
        <v>937</v>
      </c>
      <c r="BB381" s="26">
        <f>AV381+AW381</f>
        <v>0</v>
      </c>
      <c r="BC381" s="26">
        <f>H381/(100-BD381)*100</f>
        <v>0</v>
      </c>
      <c r="BD381" s="26">
        <v>0</v>
      </c>
      <c r="BE381" s="26">
        <f>M381</f>
        <v>0.37695</v>
      </c>
      <c r="BG381" s="17">
        <f>G381*AN381</f>
        <v>0</v>
      </c>
      <c r="BH381" s="17">
        <f>G381*AO381</f>
        <v>0</v>
      </c>
      <c r="BI381" s="17">
        <f>G381*H381</f>
        <v>0</v>
      </c>
      <c r="BJ381" s="17" t="s">
        <v>946</v>
      </c>
      <c r="BK381" s="26"/>
    </row>
    <row r="382" spans="1:14" s="58" customFormat="1" ht="12.75" customHeight="1">
      <c r="A382" s="57"/>
      <c r="C382" s="59" t="s">
        <v>991</v>
      </c>
      <c r="D382" s="232" t="s">
        <v>1119</v>
      </c>
      <c r="E382" s="233"/>
      <c r="F382" s="233"/>
      <c r="G382" s="233"/>
      <c r="H382" s="233"/>
      <c r="I382" s="233"/>
      <c r="J382" s="233"/>
      <c r="K382" s="233"/>
      <c r="L382" s="233"/>
      <c r="M382" s="233"/>
      <c r="N382" s="57"/>
    </row>
    <row r="383" spans="1:63" ht="12.75">
      <c r="A383" s="6" t="s">
        <v>211</v>
      </c>
      <c r="B383" s="13" t="s">
        <v>273</v>
      </c>
      <c r="C383" s="54" t="s">
        <v>490</v>
      </c>
      <c r="D383" s="238" t="s">
        <v>777</v>
      </c>
      <c r="E383" s="239"/>
      <c r="F383" s="63" t="s">
        <v>847</v>
      </c>
      <c r="G383" s="105">
        <v>111.363</v>
      </c>
      <c r="H383" s="105"/>
      <c r="I383" s="17">
        <f>G383*AN383</f>
        <v>0</v>
      </c>
      <c r="J383" s="17">
        <f>G383*AO383</f>
        <v>0</v>
      </c>
      <c r="K383" s="126">
        <f>G383*H383</f>
        <v>0</v>
      </c>
      <c r="L383" s="17">
        <v>0.0032</v>
      </c>
      <c r="M383" s="17">
        <f>G383*L383</f>
        <v>0.3563616</v>
      </c>
      <c r="N383" s="5"/>
      <c r="Y383" s="26">
        <f>IF(AP383="5",BI383,0)</f>
        <v>0</v>
      </c>
      <c r="AA383" s="26">
        <f>IF(AP383="1",BG383,0)</f>
        <v>0</v>
      </c>
      <c r="AB383" s="26">
        <f>IF(AP383="1",BH383,0)</f>
        <v>0</v>
      </c>
      <c r="AC383" s="26">
        <f>IF(AP383="7",BG383,0)</f>
        <v>0</v>
      </c>
      <c r="AD383" s="26">
        <f>IF(AP383="7",BH383,0)</f>
        <v>0</v>
      </c>
      <c r="AE383" s="26">
        <f>IF(AP383="2",BG383,0)</f>
        <v>0</v>
      </c>
      <c r="AF383" s="26">
        <f>IF(AP383="2",BH383,0)</f>
        <v>0</v>
      </c>
      <c r="AG383" s="26">
        <f>IF(AP383="0",BI383,0)</f>
        <v>0</v>
      </c>
      <c r="AH383" s="24" t="s">
        <v>273</v>
      </c>
      <c r="AI383" s="17">
        <f>IF(AM383=0,K383,0)</f>
        <v>0</v>
      </c>
      <c r="AJ383" s="17">
        <f>IF(AM383=15,K383,0)</f>
        <v>0</v>
      </c>
      <c r="AK383" s="17">
        <f>IF(AM383=21,K383,0)</f>
        <v>0</v>
      </c>
      <c r="AM383" s="26">
        <v>15</v>
      </c>
      <c r="AN383" s="26">
        <f>H383*1</f>
        <v>0</v>
      </c>
      <c r="AO383" s="26">
        <f>H383*(1-1)</f>
        <v>0</v>
      </c>
      <c r="AP383" s="28" t="s">
        <v>881</v>
      </c>
      <c r="AU383" s="26">
        <f>AV383+AW383</f>
        <v>0</v>
      </c>
      <c r="AV383" s="26">
        <f>G383*AN383</f>
        <v>0</v>
      </c>
      <c r="AW383" s="26">
        <f>G383*AO383</f>
        <v>0</v>
      </c>
      <c r="AX383" s="29" t="s">
        <v>914</v>
      </c>
      <c r="AY383" s="29" t="s">
        <v>931</v>
      </c>
      <c r="AZ383" s="24" t="s">
        <v>937</v>
      </c>
      <c r="BB383" s="26">
        <f>AV383+AW383</f>
        <v>0</v>
      </c>
      <c r="BC383" s="26">
        <f>H383/(100-BD383)*100</f>
        <v>0</v>
      </c>
      <c r="BD383" s="26">
        <v>0</v>
      </c>
      <c r="BE383" s="26">
        <f>M383</f>
        <v>0.3563616</v>
      </c>
      <c r="BG383" s="17">
        <f>G383*AN383</f>
        <v>0</v>
      </c>
      <c r="BH383" s="17">
        <f>G383*AO383</f>
        <v>0</v>
      </c>
      <c r="BI383" s="17">
        <f>G383*H383</f>
        <v>0</v>
      </c>
      <c r="BJ383" s="17" t="s">
        <v>946</v>
      </c>
      <c r="BK383" s="26"/>
    </row>
    <row r="384" spans="1:14" s="58" customFormat="1" ht="12.75" customHeight="1">
      <c r="A384" s="57"/>
      <c r="C384" s="59" t="s">
        <v>991</v>
      </c>
      <c r="D384" s="232" t="s">
        <v>1120</v>
      </c>
      <c r="E384" s="233"/>
      <c r="F384" s="233"/>
      <c r="G384" s="233"/>
      <c r="H384" s="233"/>
      <c r="I384" s="233"/>
      <c r="J384" s="233"/>
      <c r="K384" s="233"/>
      <c r="L384" s="233"/>
      <c r="M384" s="233"/>
      <c r="N384" s="57"/>
    </row>
    <row r="385" spans="1:63" ht="12.75">
      <c r="A385" s="6" t="s">
        <v>212</v>
      </c>
      <c r="B385" s="13" t="s">
        <v>273</v>
      </c>
      <c r="C385" s="54" t="s">
        <v>491</v>
      </c>
      <c r="D385" s="238" t="s">
        <v>778</v>
      </c>
      <c r="E385" s="239"/>
      <c r="F385" s="63" t="s">
        <v>847</v>
      </c>
      <c r="G385" s="105">
        <v>117.075</v>
      </c>
      <c r="H385" s="105"/>
      <c r="I385" s="17">
        <f>G385*AN385</f>
        <v>0</v>
      </c>
      <c r="J385" s="17">
        <f>G385*AO385</f>
        <v>0</v>
      </c>
      <c r="K385" s="126">
        <f>G385*H385</f>
        <v>0</v>
      </c>
      <c r="L385" s="17">
        <v>0.002</v>
      </c>
      <c r="M385" s="17">
        <f>G385*L385</f>
        <v>0.23415</v>
      </c>
      <c r="N385" s="5"/>
      <c r="Y385" s="26">
        <f>IF(AP385="5",BI385,0)</f>
        <v>0</v>
      </c>
      <c r="AA385" s="26">
        <f>IF(AP385="1",BG385,0)</f>
        <v>0</v>
      </c>
      <c r="AB385" s="26">
        <f>IF(AP385="1",BH385,0)</f>
        <v>0</v>
      </c>
      <c r="AC385" s="26">
        <f>IF(AP385="7",BG385,0)</f>
        <v>0</v>
      </c>
      <c r="AD385" s="26">
        <f>IF(AP385="7",BH385,0)</f>
        <v>0</v>
      </c>
      <c r="AE385" s="26">
        <f>IF(AP385="2",BG385,0)</f>
        <v>0</v>
      </c>
      <c r="AF385" s="26">
        <f>IF(AP385="2",BH385,0)</f>
        <v>0</v>
      </c>
      <c r="AG385" s="26">
        <f>IF(AP385="0",BI385,0)</f>
        <v>0</v>
      </c>
      <c r="AH385" s="24" t="s">
        <v>273</v>
      </c>
      <c r="AI385" s="17">
        <f>IF(AM385=0,K385,0)</f>
        <v>0</v>
      </c>
      <c r="AJ385" s="17">
        <f>IF(AM385=15,K385,0)</f>
        <v>0</v>
      </c>
      <c r="AK385" s="17">
        <f>IF(AM385=21,K385,0)</f>
        <v>0</v>
      </c>
      <c r="AM385" s="26">
        <v>15</v>
      </c>
      <c r="AN385" s="26">
        <f>H385*1</f>
        <v>0</v>
      </c>
      <c r="AO385" s="26">
        <f>H385*(1-1)</f>
        <v>0</v>
      </c>
      <c r="AP385" s="28" t="s">
        <v>881</v>
      </c>
      <c r="AU385" s="26">
        <f>AV385+AW385</f>
        <v>0</v>
      </c>
      <c r="AV385" s="26">
        <f>G385*AN385</f>
        <v>0</v>
      </c>
      <c r="AW385" s="26">
        <f>G385*AO385</f>
        <v>0</v>
      </c>
      <c r="AX385" s="29" t="s">
        <v>914</v>
      </c>
      <c r="AY385" s="29" t="s">
        <v>931</v>
      </c>
      <c r="AZ385" s="24" t="s">
        <v>937</v>
      </c>
      <c r="BB385" s="26">
        <f>AV385+AW385</f>
        <v>0</v>
      </c>
      <c r="BC385" s="26">
        <f>H385/(100-BD385)*100</f>
        <v>0</v>
      </c>
      <c r="BD385" s="26">
        <v>0</v>
      </c>
      <c r="BE385" s="26">
        <f>M385</f>
        <v>0.23415</v>
      </c>
      <c r="BG385" s="17">
        <f>G385*AN385</f>
        <v>0</v>
      </c>
      <c r="BH385" s="17">
        <f>G385*AO385</f>
        <v>0</v>
      </c>
      <c r="BI385" s="17">
        <f>G385*H385</f>
        <v>0</v>
      </c>
      <c r="BJ385" s="17" t="s">
        <v>946</v>
      </c>
      <c r="BK385" s="26"/>
    </row>
    <row r="386" spans="1:14" s="58" customFormat="1" ht="12.75" customHeight="1">
      <c r="A386" s="57"/>
      <c r="C386" s="59" t="s">
        <v>991</v>
      </c>
      <c r="D386" s="232" t="s">
        <v>1120</v>
      </c>
      <c r="E386" s="233"/>
      <c r="F386" s="233"/>
      <c r="G386" s="233"/>
      <c r="H386" s="233"/>
      <c r="I386" s="233"/>
      <c r="J386" s="233"/>
      <c r="K386" s="233"/>
      <c r="L386" s="233"/>
      <c r="M386" s="233"/>
      <c r="N386" s="57"/>
    </row>
    <row r="387" spans="1:63" ht="12.75">
      <c r="A387" s="6" t="s">
        <v>213</v>
      </c>
      <c r="B387" s="13" t="s">
        <v>273</v>
      </c>
      <c r="C387" s="54" t="s">
        <v>492</v>
      </c>
      <c r="D387" s="238" t="s">
        <v>779</v>
      </c>
      <c r="E387" s="239"/>
      <c r="F387" s="63" t="s">
        <v>851</v>
      </c>
      <c r="G387" s="105">
        <v>0.02716</v>
      </c>
      <c r="H387" s="105"/>
      <c r="I387" s="17">
        <f>G387*AN387</f>
        <v>0</v>
      </c>
      <c r="J387" s="17">
        <f>G387*AO387</f>
        <v>0</v>
      </c>
      <c r="K387" s="126">
        <f>G387*H387</f>
        <v>0</v>
      </c>
      <c r="L387" s="17">
        <v>1</v>
      </c>
      <c r="M387" s="17">
        <f>G387*L387</f>
        <v>0.02716</v>
      </c>
      <c r="N387" s="5"/>
      <c r="Y387" s="26">
        <f>IF(AP387="5",BI387,0)</f>
        <v>0</v>
      </c>
      <c r="AA387" s="26">
        <f>IF(AP387="1",BG387,0)</f>
        <v>0</v>
      </c>
      <c r="AB387" s="26">
        <f>IF(AP387="1",BH387,0)</f>
        <v>0</v>
      </c>
      <c r="AC387" s="26">
        <f>IF(AP387="7",BG387,0)</f>
        <v>0</v>
      </c>
      <c r="AD387" s="26">
        <f>IF(AP387="7",BH387,0)</f>
        <v>0</v>
      </c>
      <c r="AE387" s="26">
        <f>IF(AP387="2",BG387,0)</f>
        <v>0</v>
      </c>
      <c r="AF387" s="26">
        <f>IF(AP387="2",BH387,0)</f>
        <v>0</v>
      </c>
      <c r="AG387" s="26">
        <f>IF(AP387="0",BI387,0)</f>
        <v>0</v>
      </c>
      <c r="AH387" s="24" t="s">
        <v>273</v>
      </c>
      <c r="AI387" s="17">
        <f>IF(AM387=0,K387,0)</f>
        <v>0</v>
      </c>
      <c r="AJ387" s="17">
        <f>IF(AM387=15,K387,0)</f>
        <v>0</v>
      </c>
      <c r="AK387" s="17">
        <f>IF(AM387=21,K387,0)</f>
        <v>0</v>
      </c>
      <c r="AM387" s="26">
        <v>15</v>
      </c>
      <c r="AN387" s="26">
        <f>H387*1</f>
        <v>0</v>
      </c>
      <c r="AO387" s="26">
        <f>H387*(1-1)</f>
        <v>0</v>
      </c>
      <c r="AP387" s="28" t="s">
        <v>881</v>
      </c>
      <c r="AU387" s="26">
        <f>AV387+AW387</f>
        <v>0</v>
      </c>
      <c r="AV387" s="26">
        <f>G387*AN387</f>
        <v>0</v>
      </c>
      <c r="AW387" s="26">
        <f>G387*AO387</f>
        <v>0</v>
      </c>
      <c r="AX387" s="29" t="s">
        <v>914</v>
      </c>
      <c r="AY387" s="29" t="s">
        <v>931</v>
      </c>
      <c r="AZ387" s="24" t="s">
        <v>937</v>
      </c>
      <c r="BB387" s="26">
        <f>AV387+AW387</f>
        <v>0</v>
      </c>
      <c r="BC387" s="26">
        <f>H387/(100-BD387)*100</f>
        <v>0</v>
      </c>
      <c r="BD387" s="26">
        <v>0</v>
      </c>
      <c r="BE387" s="26">
        <f>M387</f>
        <v>0.02716</v>
      </c>
      <c r="BG387" s="17">
        <f>G387*AN387</f>
        <v>0</v>
      </c>
      <c r="BH387" s="17">
        <f>G387*AO387</f>
        <v>0</v>
      </c>
      <c r="BI387" s="17">
        <f>G387*H387</f>
        <v>0</v>
      </c>
      <c r="BJ387" s="17" t="s">
        <v>946</v>
      </c>
      <c r="BK387" s="26"/>
    </row>
    <row r="388" spans="1:14" s="58" customFormat="1" ht="12.75">
      <c r="A388" s="57"/>
      <c r="C388" s="59" t="s">
        <v>991</v>
      </c>
      <c r="D388" s="232" t="s">
        <v>1121</v>
      </c>
      <c r="E388" s="233"/>
      <c r="F388" s="233"/>
      <c r="G388" s="233"/>
      <c r="H388" s="233"/>
      <c r="I388" s="233"/>
      <c r="J388" s="233"/>
      <c r="K388" s="233"/>
      <c r="L388" s="233"/>
      <c r="M388" s="233"/>
      <c r="N388" s="57"/>
    </row>
    <row r="389" spans="1:63" ht="12.75">
      <c r="A389" s="6" t="s">
        <v>214</v>
      </c>
      <c r="B389" s="13" t="s">
        <v>273</v>
      </c>
      <c r="C389" s="54" t="s">
        <v>493</v>
      </c>
      <c r="D389" s="238" t="s">
        <v>780</v>
      </c>
      <c r="E389" s="239"/>
      <c r="F389" s="63" t="s">
        <v>847</v>
      </c>
      <c r="G389" s="105">
        <v>26.6308</v>
      </c>
      <c r="H389" s="105"/>
      <c r="I389" s="17">
        <f>G389*AN389</f>
        <v>0</v>
      </c>
      <c r="J389" s="17">
        <f>G389*AO389</f>
        <v>0</v>
      </c>
      <c r="K389" s="126">
        <f>G389*H389</f>
        <v>0</v>
      </c>
      <c r="L389" s="17">
        <v>0.0045</v>
      </c>
      <c r="M389" s="17">
        <f>G389*L389</f>
        <v>0.11983859999999999</v>
      </c>
      <c r="N389" s="5"/>
      <c r="Y389" s="26">
        <f>IF(AP389="5",BI389,0)</f>
        <v>0</v>
      </c>
      <c r="AA389" s="26">
        <f>IF(AP389="1",BG389,0)</f>
        <v>0</v>
      </c>
      <c r="AB389" s="26">
        <f>IF(AP389="1",BH389,0)</f>
        <v>0</v>
      </c>
      <c r="AC389" s="26">
        <f>IF(AP389="7",BG389,0)</f>
        <v>0</v>
      </c>
      <c r="AD389" s="26">
        <f>IF(AP389="7",BH389,0)</f>
        <v>0</v>
      </c>
      <c r="AE389" s="26">
        <f>IF(AP389="2",BG389,0)</f>
        <v>0</v>
      </c>
      <c r="AF389" s="26">
        <f>IF(AP389="2",BH389,0)</f>
        <v>0</v>
      </c>
      <c r="AG389" s="26">
        <f>IF(AP389="0",BI389,0)</f>
        <v>0</v>
      </c>
      <c r="AH389" s="24" t="s">
        <v>273</v>
      </c>
      <c r="AI389" s="17">
        <f>IF(AM389=0,K389,0)</f>
        <v>0</v>
      </c>
      <c r="AJ389" s="17">
        <f>IF(AM389=15,K389,0)</f>
        <v>0</v>
      </c>
      <c r="AK389" s="17">
        <f>IF(AM389=21,K389,0)</f>
        <v>0</v>
      </c>
      <c r="AM389" s="26">
        <v>15</v>
      </c>
      <c r="AN389" s="26">
        <f>H389*1</f>
        <v>0</v>
      </c>
      <c r="AO389" s="26">
        <f>H389*(1-1)</f>
        <v>0</v>
      </c>
      <c r="AP389" s="28" t="s">
        <v>881</v>
      </c>
      <c r="AU389" s="26">
        <f>AV389+AW389</f>
        <v>0</v>
      </c>
      <c r="AV389" s="26">
        <f>G389*AN389</f>
        <v>0</v>
      </c>
      <c r="AW389" s="26">
        <f>G389*AO389</f>
        <v>0</v>
      </c>
      <c r="AX389" s="29" t="s">
        <v>914</v>
      </c>
      <c r="AY389" s="29" t="s">
        <v>931</v>
      </c>
      <c r="AZ389" s="24" t="s">
        <v>937</v>
      </c>
      <c r="BB389" s="26">
        <f>AV389+AW389</f>
        <v>0</v>
      </c>
      <c r="BC389" s="26">
        <f>H389/(100-BD389)*100</f>
        <v>0</v>
      </c>
      <c r="BD389" s="26">
        <v>0</v>
      </c>
      <c r="BE389" s="26">
        <f>M389</f>
        <v>0.11983859999999999</v>
      </c>
      <c r="BG389" s="17">
        <f>G389*AN389</f>
        <v>0</v>
      </c>
      <c r="BH389" s="17">
        <f>G389*AO389</f>
        <v>0</v>
      </c>
      <c r="BI389" s="17">
        <f>G389*H389</f>
        <v>0</v>
      </c>
      <c r="BJ389" s="17" t="s">
        <v>946</v>
      </c>
      <c r="BK389" s="26"/>
    </row>
    <row r="390" spans="1:14" s="58" customFormat="1" ht="12.75">
      <c r="A390" s="57"/>
      <c r="C390" s="59" t="s">
        <v>991</v>
      </c>
      <c r="D390" s="232" t="s">
        <v>1123</v>
      </c>
      <c r="E390" s="233"/>
      <c r="F390" s="233"/>
      <c r="G390" s="233"/>
      <c r="H390" s="233"/>
      <c r="I390" s="233"/>
      <c r="J390" s="233"/>
      <c r="K390" s="233"/>
      <c r="L390" s="233"/>
      <c r="M390" s="233"/>
      <c r="N390" s="57"/>
    </row>
    <row r="391" spans="1:63" ht="12.75">
      <c r="A391" s="6" t="s">
        <v>215</v>
      </c>
      <c r="B391" s="13" t="s">
        <v>273</v>
      </c>
      <c r="C391" s="54" t="s">
        <v>494</v>
      </c>
      <c r="D391" s="238" t="s">
        <v>1124</v>
      </c>
      <c r="E391" s="239"/>
      <c r="F391" s="63" t="s">
        <v>847</v>
      </c>
      <c r="G391" s="105">
        <v>23.529</v>
      </c>
      <c r="H391" s="105"/>
      <c r="I391" s="17">
        <f>G391*AN391</f>
        <v>0</v>
      </c>
      <c r="J391" s="17">
        <f>G391*AO391</f>
        <v>0</v>
      </c>
      <c r="K391" s="126">
        <f>G391*H391</f>
        <v>0</v>
      </c>
      <c r="L391" s="17">
        <v>0.0055</v>
      </c>
      <c r="M391" s="17">
        <f>G391*L391</f>
        <v>0.12940949999999998</v>
      </c>
      <c r="N391" s="5"/>
      <c r="Y391" s="26">
        <f>IF(AP391="5",BI391,0)</f>
        <v>0</v>
      </c>
      <c r="AA391" s="26">
        <f>IF(AP391="1",BG391,0)</f>
        <v>0</v>
      </c>
      <c r="AB391" s="26">
        <f>IF(AP391="1",BH391,0)</f>
        <v>0</v>
      </c>
      <c r="AC391" s="26">
        <f>IF(AP391="7",BG391,0)</f>
        <v>0</v>
      </c>
      <c r="AD391" s="26">
        <f>IF(AP391="7",BH391,0)</f>
        <v>0</v>
      </c>
      <c r="AE391" s="26">
        <f>IF(AP391="2",BG391,0)</f>
        <v>0</v>
      </c>
      <c r="AF391" s="26">
        <f>IF(AP391="2",BH391,0)</f>
        <v>0</v>
      </c>
      <c r="AG391" s="26">
        <f>IF(AP391="0",BI391,0)</f>
        <v>0</v>
      </c>
      <c r="AH391" s="24" t="s">
        <v>273</v>
      </c>
      <c r="AI391" s="17">
        <f>IF(AM391=0,K391,0)</f>
        <v>0</v>
      </c>
      <c r="AJ391" s="17">
        <f>IF(AM391=15,K391,0)</f>
        <v>0</v>
      </c>
      <c r="AK391" s="17">
        <f>IF(AM391=21,K391,0)</f>
        <v>0</v>
      </c>
      <c r="AM391" s="26">
        <v>15</v>
      </c>
      <c r="AN391" s="26">
        <f>H391*1</f>
        <v>0</v>
      </c>
      <c r="AO391" s="26">
        <f>H391*(1-1)</f>
        <v>0</v>
      </c>
      <c r="AP391" s="28" t="s">
        <v>881</v>
      </c>
      <c r="AU391" s="26">
        <f>AV391+AW391</f>
        <v>0</v>
      </c>
      <c r="AV391" s="26">
        <f>G391*AN391</f>
        <v>0</v>
      </c>
      <c r="AW391" s="26">
        <f>G391*AO391</f>
        <v>0</v>
      </c>
      <c r="AX391" s="29" t="s">
        <v>914</v>
      </c>
      <c r="AY391" s="29" t="s">
        <v>931</v>
      </c>
      <c r="AZ391" s="24" t="s">
        <v>937</v>
      </c>
      <c r="BB391" s="26">
        <f>AV391+AW391</f>
        <v>0</v>
      </c>
      <c r="BC391" s="26">
        <f>H391/(100-BD391)*100</f>
        <v>0</v>
      </c>
      <c r="BD391" s="26">
        <v>0</v>
      </c>
      <c r="BE391" s="26">
        <f>M391</f>
        <v>0.12940949999999998</v>
      </c>
      <c r="BG391" s="17">
        <f>G391*AN391</f>
        <v>0</v>
      </c>
      <c r="BH391" s="17">
        <f>G391*AO391</f>
        <v>0</v>
      </c>
      <c r="BI391" s="17">
        <f>G391*H391</f>
        <v>0</v>
      </c>
      <c r="BJ391" s="17" t="s">
        <v>946</v>
      </c>
      <c r="BK391" s="26"/>
    </row>
    <row r="392" spans="1:14" s="58" customFormat="1" ht="12.75">
      <c r="A392" s="57"/>
      <c r="C392" s="59" t="s">
        <v>991</v>
      </c>
      <c r="D392" s="232" t="s">
        <v>1123</v>
      </c>
      <c r="E392" s="233"/>
      <c r="F392" s="233"/>
      <c r="G392" s="233"/>
      <c r="H392" s="233"/>
      <c r="I392" s="233"/>
      <c r="J392" s="233"/>
      <c r="K392" s="233"/>
      <c r="L392" s="233"/>
      <c r="M392" s="233"/>
      <c r="N392" s="57"/>
    </row>
    <row r="393" spans="1:63" ht="12.75">
      <c r="A393" s="6" t="s">
        <v>216</v>
      </c>
      <c r="B393" s="13" t="s">
        <v>273</v>
      </c>
      <c r="C393" s="54" t="s">
        <v>495</v>
      </c>
      <c r="D393" s="238" t="s">
        <v>781</v>
      </c>
      <c r="E393" s="239"/>
      <c r="F393" s="63" t="s">
        <v>847</v>
      </c>
      <c r="G393" s="105">
        <v>2.835</v>
      </c>
      <c r="H393" s="105"/>
      <c r="I393" s="17">
        <f>G393*AN393</f>
        <v>0</v>
      </c>
      <c r="J393" s="17">
        <f>G393*AO393</f>
        <v>0</v>
      </c>
      <c r="K393" s="126">
        <f>G393*H393</f>
        <v>0</v>
      </c>
      <c r="L393" s="17">
        <v>0.001</v>
      </c>
      <c r="M393" s="17">
        <f>G393*L393</f>
        <v>0.002835</v>
      </c>
      <c r="N393" s="5"/>
      <c r="Y393" s="26">
        <f>IF(AP393="5",BI393,0)</f>
        <v>0</v>
      </c>
      <c r="AA393" s="26">
        <f>IF(AP393="1",BG393,0)</f>
        <v>0</v>
      </c>
      <c r="AB393" s="26">
        <f>IF(AP393="1",BH393,0)</f>
        <v>0</v>
      </c>
      <c r="AC393" s="26">
        <f>IF(AP393="7",BG393,0)</f>
        <v>0</v>
      </c>
      <c r="AD393" s="26">
        <f>IF(AP393="7",BH393,0)</f>
        <v>0</v>
      </c>
      <c r="AE393" s="26">
        <f>IF(AP393="2",BG393,0)</f>
        <v>0</v>
      </c>
      <c r="AF393" s="26">
        <f>IF(AP393="2",BH393,0)</f>
        <v>0</v>
      </c>
      <c r="AG393" s="26">
        <f>IF(AP393="0",BI393,0)</f>
        <v>0</v>
      </c>
      <c r="AH393" s="24" t="s">
        <v>273</v>
      </c>
      <c r="AI393" s="17">
        <f>IF(AM393=0,K393,0)</f>
        <v>0</v>
      </c>
      <c r="AJ393" s="17">
        <f>IF(AM393=15,K393,0)</f>
        <v>0</v>
      </c>
      <c r="AK393" s="17">
        <f>IF(AM393=21,K393,0)</f>
        <v>0</v>
      </c>
      <c r="AM393" s="26">
        <v>15</v>
      </c>
      <c r="AN393" s="26">
        <f>H393*1</f>
        <v>0</v>
      </c>
      <c r="AO393" s="26">
        <f>H393*(1-1)</f>
        <v>0</v>
      </c>
      <c r="AP393" s="28" t="s">
        <v>881</v>
      </c>
      <c r="AU393" s="26">
        <f>AV393+AW393</f>
        <v>0</v>
      </c>
      <c r="AV393" s="26">
        <f>G393*AN393</f>
        <v>0</v>
      </c>
      <c r="AW393" s="26">
        <f>G393*AO393</f>
        <v>0</v>
      </c>
      <c r="AX393" s="29" t="s">
        <v>914</v>
      </c>
      <c r="AY393" s="29" t="s">
        <v>931</v>
      </c>
      <c r="AZ393" s="24" t="s">
        <v>937</v>
      </c>
      <c r="BB393" s="26">
        <f>AV393+AW393</f>
        <v>0</v>
      </c>
      <c r="BC393" s="26">
        <f>H393/(100-BD393)*100</f>
        <v>0</v>
      </c>
      <c r="BD393" s="26">
        <v>0</v>
      </c>
      <c r="BE393" s="26">
        <f>M393</f>
        <v>0.002835</v>
      </c>
      <c r="BG393" s="17">
        <f>G393*AN393</f>
        <v>0</v>
      </c>
      <c r="BH393" s="17">
        <f>G393*AO393</f>
        <v>0</v>
      </c>
      <c r="BI393" s="17">
        <f>G393*H393</f>
        <v>0</v>
      </c>
      <c r="BJ393" s="17" t="s">
        <v>946</v>
      </c>
      <c r="BK393" s="26"/>
    </row>
    <row r="394" spans="1:14" s="58" customFormat="1" ht="12.75">
      <c r="A394" s="57"/>
      <c r="C394" s="59" t="s">
        <v>991</v>
      </c>
      <c r="D394" s="232" t="s">
        <v>1125</v>
      </c>
      <c r="E394" s="233"/>
      <c r="F394" s="233"/>
      <c r="G394" s="233"/>
      <c r="H394" s="233"/>
      <c r="I394" s="233"/>
      <c r="J394" s="233"/>
      <c r="K394" s="233"/>
      <c r="L394" s="233"/>
      <c r="M394" s="233"/>
      <c r="N394" s="57"/>
    </row>
    <row r="395" spans="1:63" ht="12.75">
      <c r="A395" s="6" t="s">
        <v>217</v>
      </c>
      <c r="B395" s="13" t="s">
        <v>273</v>
      </c>
      <c r="C395" s="54" t="s">
        <v>496</v>
      </c>
      <c r="D395" s="238" t="s">
        <v>782</v>
      </c>
      <c r="E395" s="239"/>
      <c r="F395" s="63" t="s">
        <v>850</v>
      </c>
      <c r="G395" s="105">
        <v>196.8164</v>
      </c>
      <c r="H395" s="105"/>
      <c r="I395" s="17">
        <f>G395*AN395</f>
        <v>0</v>
      </c>
      <c r="J395" s="17">
        <f>G395*AO395</f>
        <v>0</v>
      </c>
      <c r="K395" s="126">
        <f>G395*H395</f>
        <v>0</v>
      </c>
      <c r="L395" s="17">
        <v>0.00025</v>
      </c>
      <c r="M395" s="17">
        <f>G395*L395</f>
        <v>0.0492041</v>
      </c>
      <c r="N395" s="5"/>
      <c r="Y395" s="26">
        <f>IF(AP395="5",BI395,0)</f>
        <v>0</v>
      </c>
      <c r="AA395" s="26">
        <f>IF(AP395="1",BG395,0)</f>
        <v>0</v>
      </c>
      <c r="AB395" s="26">
        <f>IF(AP395="1",BH395,0)</f>
        <v>0</v>
      </c>
      <c r="AC395" s="26">
        <f>IF(AP395="7",BG395,0)</f>
        <v>0</v>
      </c>
      <c r="AD395" s="26">
        <f>IF(AP395="7",BH395,0)</f>
        <v>0</v>
      </c>
      <c r="AE395" s="26">
        <f>IF(AP395="2",BG395,0)</f>
        <v>0</v>
      </c>
      <c r="AF395" s="26">
        <f>IF(AP395="2",BH395,0)</f>
        <v>0</v>
      </c>
      <c r="AG395" s="26">
        <f>IF(AP395="0",BI395,0)</f>
        <v>0</v>
      </c>
      <c r="AH395" s="24" t="s">
        <v>273</v>
      </c>
      <c r="AI395" s="17">
        <f>IF(AM395=0,K395,0)</f>
        <v>0</v>
      </c>
      <c r="AJ395" s="17">
        <f>IF(AM395=15,K395,0)</f>
        <v>0</v>
      </c>
      <c r="AK395" s="17">
        <f>IF(AM395=21,K395,0)</f>
        <v>0</v>
      </c>
      <c r="AM395" s="26">
        <v>15</v>
      </c>
      <c r="AN395" s="26">
        <f>H395*1</f>
        <v>0</v>
      </c>
      <c r="AO395" s="26">
        <f>H395*(1-1)</f>
        <v>0</v>
      </c>
      <c r="AP395" s="28" t="s">
        <v>881</v>
      </c>
      <c r="AU395" s="26">
        <f>AV395+AW395</f>
        <v>0</v>
      </c>
      <c r="AV395" s="26">
        <f>G395*AN395</f>
        <v>0</v>
      </c>
      <c r="AW395" s="26">
        <f>G395*AO395</f>
        <v>0</v>
      </c>
      <c r="AX395" s="29" t="s">
        <v>914</v>
      </c>
      <c r="AY395" s="29" t="s">
        <v>931</v>
      </c>
      <c r="AZ395" s="24" t="s">
        <v>937</v>
      </c>
      <c r="BB395" s="26">
        <f>AV395+AW395</f>
        <v>0</v>
      </c>
      <c r="BC395" s="26">
        <f>H395/(100-BD395)*100</f>
        <v>0</v>
      </c>
      <c r="BD395" s="26">
        <v>0</v>
      </c>
      <c r="BE395" s="26">
        <f>M395</f>
        <v>0.0492041</v>
      </c>
      <c r="BG395" s="17">
        <f>G395*AN395</f>
        <v>0</v>
      </c>
      <c r="BH395" s="17">
        <f>G395*AO395</f>
        <v>0</v>
      </c>
      <c r="BI395" s="17">
        <f>G395*H395</f>
        <v>0</v>
      </c>
      <c r="BJ395" s="17" t="s">
        <v>946</v>
      </c>
      <c r="BK395" s="26"/>
    </row>
    <row r="396" spans="1:14" s="58" customFormat="1" ht="12.75">
      <c r="A396" s="57"/>
      <c r="C396" s="59" t="s">
        <v>991</v>
      </c>
      <c r="D396" s="232" t="s">
        <v>1126</v>
      </c>
      <c r="E396" s="233"/>
      <c r="F396" s="233"/>
      <c r="G396" s="233"/>
      <c r="H396" s="233"/>
      <c r="I396" s="233"/>
      <c r="J396" s="233"/>
      <c r="K396" s="233"/>
      <c r="L396" s="233"/>
      <c r="M396" s="233"/>
      <c r="N396" s="57"/>
    </row>
    <row r="397" spans="1:63" ht="12.75">
      <c r="A397" s="6" t="s">
        <v>218</v>
      </c>
      <c r="B397" s="13" t="s">
        <v>273</v>
      </c>
      <c r="C397" s="54" t="s">
        <v>497</v>
      </c>
      <c r="D397" s="238" t="s">
        <v>782</v>
      </c>
      <c r="E397" s="239"/>
      <c r="F397" s="63" t="s">
        <v>850</v>
      </c>
      <c r="G397" s="105">
        <v>39.504</v>
      </c>
      <c r="H397" s="105"/>
      <c r="I397" s="17">
        <f>G397*AN397</f>
        <v>0</v>
      </c>
      <c r="J397" s="17">
        <f>G397*AO397</f>
        <v>0</v>
      </c>
      <c r="K397" s="126">
        <f>G397*H397</f>
        <v>0</v>
      </c>
      <c r="L397" s="17">
        <v>0.00025</v>
      </c>
      <c r="M397" s="17">
        <f>G397*L397</f>
        <v>0.009876</v>
      </c>
      <c r="N397" s="5"/>
      <c r="Y397" s="26">
        <f>IF(AP397="5",BI397,0)</f>
        <v>0</v>
      </c>
      <c r="AA397" s="26">
        <f>IF(AP397="1",BG397,0)</f>
        <v>0</v>
      </c>
      <c r="AB397" s="26">
        <f>IF(AP397="1",BH397,0)</f>
        <v>0</v>
      </c>
      <c r="AC397" s="26">
        <f>IF(AP397="7",BG397,0)</f>
        <v>0</v>
      </c>
      <c r="AD397" s="26">
        <f>IF(AP397="7",BH397,0)</f>
        <v>0</v>
      </c>
      <c r="AE397" s="26">
        <f>IF(AP397="2",BG397,0)</f>
        <v>0</v>
      </c>
      <c r="AF397" s="26">
        <f>IF(AP397="2",BH397,0)</f>
        <v>0</v>
      </c>
      <c r="AG397" s="26">
        <f>IF(AP397="0",BI397,0)</f>
        <v>0</v>
      </c>
      <c r="AH397" s="24" t="s">
        <v>273</v>
      </c>
      <c r="AI397" s="17">
        <f>IF(AM397=0,K397,0)</f>
        <v>0</v>
      </c>
      <c r="AJ397" s="17">
        <f>IF(AM397=15,K397,0)</f>
        <v>0</v>
      </c>
      <c r="AK397" s="17">
        <f>IF(AM397=21,K397,0)</f>
        <v>0</v>
      </c>
      <c r="AM397" s="26">
        <v>15</v>
      </c>
      <c r="AN397" s="26">
        <f>H397*1</f>
        <v>0</v>
      </c>
      <c r="AO397" s="26">
        <f>H397*(1-1)</f>
        <v>0</v>
      </c>
      <c r="AP397" s="28" t="s">
        <v>881</v>
      </c>
      <c r="AU397" s="26">
        <f>AV397+AW397</f>
        <v>0</v>
      </c>
      <c r="AV397" s="26">
        <f>G397*AN397</f>
        <v>0</v>
      </c>
      <c r="AW397" s="26">
        <f>G397*AO397</f>
        <v>0</v>
      </c>
      <c r="AX397" s="29" t="s">
        <v>914</v>
      </c>
      <c r="AY397" s="29" t="s">
        <v>931</v>
      </c>
      <c r="AZ397" s="24" t="s">
        <v>937</v>
      </c>
      <c r="BB397" s="26">
        <f>AV397+AW397</f>
        <v>0</v>
      </c>
      <c r="BC397" s="26">
        <f>H397/(100-BD397)*100</f>
        <v>0</v>
      </c>
      <c r="BD397" s="26">
        <v>0</v>
      </c>
      <c r="BE397" s="26">
        <f>M397</f>
        <v>0.009876</v>
      </c>
      <c r="BG397" s="17">
        <f>G397*AN397</f>
        <v>0</v>
      </c>
      <c r="BH397" s="17">
        <f>G397*AO397</f>
        <v>0</v>
      </c>
      <c r="BI397" s="17">
        <f>G397*H397</f>
        <v>0</v>
      </c>
      <c r="BJ397" s="17" t="s">
        <v>946</v>
      </c>
      <c r="BK397" s="26"/>
    </row>
    <row r="398" spans="1:14" s="58" customFormat="1" ht="12.75">
      <c r="A398" s="57"/>
      <c r="C398" s="59" t="s">
        <v>991</v>
      </c>
      <c r="D398" s="232" t="s">
        <v>1126</v>
      </c>
      <c r="E398" s="233"/>
      <c r="F398" s="233"/>
      <c r="G398" s="233"/>
      <c r="H398" s="233"/>
      <c r="I398" s="233"/>
      <c r="J398" s="233"/>
      <c r="K398" s="233"/>
      <c r="L398" s="233"/>
      <c r="M398" s="233"/>
      <c r="N398" s="57"/>
    </row>
    <row r="399" spans="1:63" ht="12.75">
      <c r="A399" s="6" t="s">
        <v>219</v>
      </c>
      <c r="B399" s="13" t="s">
        <v>273</v>
      </c>
      <c r="C399" s="54" t="s">
        <v>498</v>
      </c>
      <c r="D399" s="238" t="s">
        <v>1700</v>
      </c>
      <c r="E399" s="239"/>
      <c r="F399" s="63" t="s">
        <v>846</v>
      </c>
      <c r="G399" s="105">
        <v>215.7225</v>
      </c>
      <c r="H399" s="105"/>
      <c r="I399" s="17">
        <f>G399*AN399</f>
        <v>0</v>
      </c>
      <c r="J399" s="17">
        <f>G399*AO399</f>
        <v>0</v>
      </c>
      <c r="K399" s="126">
        <f>G399*H399</f>
        <v>0</v>
      </c>
      <c r="L399" s="17">
        <v>6E-05</v>
      </c>
      <c r="M399" s="17">
        <f>G399*L399</f>
        <v>0.01294335</v>
      </c>
      <c r="N399" s="5"/>
      <c r="Y399" s="26">
        <f>IF(AP399="5",BI399,0)</f>
        <v>0</v>
      </c>
      <c r="AA399" s="26">
        <f>IF(AP399="1",BG399,0)</f>
        <v>0</v>
      </c>
      <c r="AB399" s="26">
        <f>IF(AP399="1",BH399,0)</f>
        <v>0</v>
      </c>
      <c r="AC399" s="26">
        <f>IF(AP399="7",BG399,0)</f>
        <v>0</v>
      </c>
      <c r="AD399" s="26">
        <f>IF(AP399="7",BH399,0)</f>
        <v>0</v>
      </c>
      <c r="AE399" s="26">
        <f>IF(AP399="2",BG399,0)</f>
        <v>0</v>
      </c>
      <c r="AF399" s="26">
        <f>IF(AP399="2",BH399,0)</f>
        <v>0</v>
      </c>
      <c r="AG399" s="26">
        <f>IF(AP399="0",BI399,0)</f>
        <v>0</v>
      </c>
      <c r="AH399" s="24" t="s">
        <v>273</v>
      </c>
      <c r="AI399" s="17">
        <f>IF(AM399=0,K399,0)</f>
        <v>0</v>
      </c>
      <c r="AJ399" s="17">
        <f>IF(AM399=15,K399,0)</f>
        <v>0</v>
      </c>
      <c r="AK399" s="17">
        <f>IF(AM399=21,K399,0)</f>
        <v>0</v>
      </c>
      <c r="AM399" s="26">
        <v>15</v>
      </c>
      <c r="AN399" s="26">
        <f>H399*1</f>
        <v>0</v>
      </c>
      <c r="AO399" s="26">
        <f>H399*(1-1)</f>
        <v>0</v>
      </c>
      <c r="AP399" s="28" t="s">
        <v>881</v>
      </c>
      <c r="AU399" s="26">
        <f>AV399+AW399</f>
        <v>0</v>
      </c>
      <c r="AV399" s="26">
        <f>G399*AN399</f>
        <v>0</v>
      </c>
      <c r="AW399" s="26">
        <f>G399*AO399</f>
        <v>0</v>
      </c>
      <c r="AX399" s="29" t="s">
        <v>914</v>
      </c>
      <c r="AY399" s="29" t="s">
        <v>931</v>
      </c>
      <c r="AZ399" s="24" t="s">
        <v>937</v>
      </c>
      <c r="BB399" s="26">
        <f>AV399+AW399</f>
        <v>0</v>
      </c>
      <c r="BC399" s="26">
        <f>H399/(100-BD399)*100</f>
        <v>0</v>
      </c>
      <c r="BD399" s="26">
        <v>0</v>
      </c>
      <c r="BE399" s="26">
        <f>M399</f>
        <v>0.01294335</v>
      </c>
      <c r="BG399" s="17">
        <f>G399*AN399</f>
        <v>0</v>
      </c>
      <c r="BH399" s="17">
        <f>G399*AO399</f>
        <v>0</v>
      </c>
      <c r="BI399" s="17">
        <f>G399*H399</f>
        <v>0</v>
      </c>
      <c r="BJ399" s="17" t="s">
        <v>946</v>
      </c>
      <c r="BK399" s="26"/>
    </row>
    <row r="400" spans="1:14" s="58" customFormat="1" ht="12.75">
      <c r="A400" s="57"/>
      <c r="C400" s="59" t="s">
        <v>991</v>
      </c>
      <c r="D400" s="232" t="s">
        <v>1127</v>
      </c>
      <c r="E400" s="233"/>
      <c r="F400" s="233"/>
      <c r="G400" s="233"/>
      <c r="H400" s="233"/>
      <c r="I400" s="233"/>
      <c r="J400" s="233"/>
      <c r="K400" s="233"/>
      <c r="L400" s="233"/>
      <c r="M400" s="233"/>
      <c r="N400" s="57"/>
    </row>
    <row r="401" spans="1:63" ht="12.75">
      <c r="A401" s="6" t="s">
        <v>220</v>
      </c>
      <c r="B401" s="13" t="s">
        <v>273</v>
      </c>
      <c r="C401" s="54" t="s">
        <v>499</v>
      </c>
      <c r="D401" s="238" t="s">
        <v>783</v>
      </c>
      <c r="E401" s="239"/>
      <c r="F401" s="63" t="s">
        <v>853</v>
      </c>
      <c r="G401" s="105">
        <v>4760.44</v>
      </c>
      <c r="H401" s="105"/>
      <c r="I401" s="17">
        <f>G401*AN401</f>
        <v>0</v>
      </c>
      <c r="J401" s="17">
        <f>G401*AO401</f>
        <v>0</v>
      </c>
      <c r="K401" s="126">
        <f>G401*H401</f>
        <v>0</v>
      </c>
      <c r="L401" s="17">
        <v>0.001</v>
      </c>
      <c r="M401" s="17">
        <f>G401*L401</f>
        <v>4.76044</v>
      </c>
      <c r="N401" s="5"/>
      <c r="Y401" s="26">
        <f>IF(AP401="5",BI401,0)</f>
        <v>0</v>
      </c>
      <c r="AA401" s="26">
        <f>IF(AP401="1",BG401,0)</f>
        <v>0</v>
      </c>
      <c r="AB401" s="26">
        <f>IF(AP401="1",BH401,0)</f>
        <v>0</v>
      </c>
      <c r="AC401" s="26">
        <f>IF(AP401="7",BG401,0)</f>
        <v>0</v>
      </c>
      <c r="AD401" s="26">
        <f>IF(AP401="7",BH401,0)</f>
        <v>0</v>
      </c>
      <c r="AE401" s="26">
        <f>IF(AP401="2",BG401,0)</f>
        <v>0</v>
      </c>
      <c r="AF401" s="26">
        <f>IF(AP401="2",BH401,0)</f>
        <v>0</v>
      </c>
      <c r="AG401" s="26">
        <f>IF(AP401="0",BI401,0)</f>
        <v>0</v>
      </c>
      <c r="AH401" s="24" t="s">
        <v>273</v>
      </c>
      <c r="AI401" s="17">
        <f>IF(AM401=0,K401,0)</f>
        <v>0</v>
      </c>
      <c r="AJ401" s="17">
        <f>IF(AM401=15,K401,0)</f>
        <v>0</v>
      </c>
      <c r="AK401" s="17">
        <f>IF(AM401=21,K401,0)</f>
        <v>0</v>
      </c>
      <c r="AM401" s="26">
        <v>15</v>
      </c>
      <c r="AN401" s="26">
        <f>H401*1</f>
        <v>0</v>
      </c>
      <c r="AO401" s="26">
        <f>H401*(1-1)</f>
        <v>0</v>
      </c>
      <c r="AP401" s="28" t="s">
        <v>881</v>
      </c>
      <c r="AU401" s="26">
        <f>AV401+AW401</f>
        <v>0</v>
      </c>
      <c r="AV401" s="26">
        <f>G401*AN401</f>
        <v>0</v>
      </c>
      <c r="AW401" s="26">
        <f>G401*AO401</f>
        <v>0</v>
      </c>
      <c r="AX401" s="29" t="s">
        <v>914</v>
      </c>
      <c r="AY401" s="29" t="s">
        <v>931</v>
      </c>
      <c r="AZ401" s="24" t="s">
        <v>937</v>
      </c>
      <c r="BB401" s="26">
        <f>AV401+AW401</f>
        <v>0</v>
      </c>
      <c r="BC401" s="26">
        <f>H401/(100-BD401)*100</f>
        <v>0</v>
      </c>
      <c r="BD401" s="26">
        <v>0</v>
      </c>
      <c r="BE401" s="26">
        <f>M401</f>
        <v>4.76044</v>
      </c>
      <c r="BG401" s="17">
        <f>G401*AN401</f>
        <v>0</v>
      </c>
      <c r="BH401" s="17">
        <f>G401*AO401</f>
        <v>0</v>
      </c>
      <c r="BI401" s="17">
        <f>G401*H401</f>
        <v>0</v>
      </c>
      <c r="BJ401" s="17" t="s">
        <v>946</v>
      </c>
      <c r="BK401" s="26"/>
    </row>
    <row r="402" spans="1:14" s="58" customFormat="1" ht="12.75">
      <c r="A402" s="57"/>
      <c r="C402" s="59" t="s">
        <v>991</v>
      </c>
      <c r="D402" s="232" t="s">
        <v>1128</v>
      </c>
      <c r="E402" s="233"/>
      <c r="F402" s="233"/>
      <c r="G402" s="233"/>
      <c r="H402" s="233"/>
      <c r="I402" s="233"/>
      <c r="J402" s="233"/>
      <c r="K402" s="233"/>
      <c r="L402" s="233"/>
      <c r="M402" s="233"/>
      <c r="N402" s="57"/>
    </row>
    <row r="403" spans="1:63" ht="12.75">
      <c r="A403" s="6" t="s">
        <v>221</v>
      </c>
      <c r="B403" s="13" t="s">
        <v>273</v>
      </c>
      <c r="C403" s="54" t="s">
        <v>500</v>
      </c>
      <c r="D403" s="238" t="s">
        <v>784</v>
      </c>
      <c r="E403" s="239"/>
      <c r="F403" s="63" t="s">
        <v>850</v>
      </c>
      <c r="G403" s="105">
        <v>6575.2</v>
      </c>
      <c r="H403" s="105"/>
      <c r="I403" s="17">
        <f>G403*AN403</f>
        <v>0</v>
      </c>
      <c r="J403" s="17">
        <f>G403*AO403</f>
        <v>0</v>
      </c>
      <c r="K403" s="126">
        <f>G403*H403</f>
        <v>0</v>
      </c>
      <c r="L403" s="17">
        <v>0</v>
      </c>
      <c r="M403" s="17">
        <f>G403*L403</f>
        <v>0</v>
      </c>
      <c r="N403" s="5"/>
      <c r="Y403" s="26">
        <f>IF(AP403="5",BI403,0)</f>
        <v>0</v>
      </c>
      <c r="AA403" s="26">
        <f>IF(AP403="1",BG403,0)</f>
        <v>0</v>
      </c>
      <c r="AB403" s="26">
        <f>IF(AP403="1",BH403,0)</f>
        <v>0</v>
      </c>
      <c r="AC403" s="26">
        <f>IF(AP403="7",BG403,0)</f>
        <v>0</v>
      </c>
      <c r="AD403" s="26">
        <f>IF(AP403="7",BH403,0)</f>
        <v>0</v>
      </c>
      <c r="AE403" s="26">
        <f>IF(AP403="2",BG403,0)</f>
        <v>0</v>
      </c>
      <c r="AF403" s="26">
        <f>IF(AP403="2",BH403,0)</f>
        <v>0</v>
      </c>
      <c r="AG403" s="26">
        <f>IF(AP403="0",BI403,0)</f>
        <v>0</v>
      </c>
      <c r="AH403" s="24" t="s">
        <v>273</v>
      </c>
      <c r="AI403" s="17">
        <f>IF(AM403=0,K403,0)</f>
        <v>0</v>
      </c>
      <c r="AJ403" s="17">
        <f>IF(AM403=15,K403,0)</f>
        <v>0</v>
      </c>
      <c r="AK403" s="17">
        <f>IF(AM403=21,K403,0)</f>
        <v>0</v>
      </c>
      <c r="AM403" s="26">
        <v>15</v>
      </c>
      <c r="AN403" s="26">
        <f>H403*1</f>
        <v>0</v>
      </c>
      <c r="AO403" s="26">
        <f>H403*(1-1)</f>
        <v>0</v>
      </c>
      <c r="AP403" s="28" t="s">
        <v>881</v>
      </c>
      <c r="AU403" s="26">
        <f>AV403+AW403</f>
        <v>0</v>
      </c>
      <c r="AV403" s="26">
        <f>G403*AN403</f>
        <v>0</v>
      </c>
      <c r="AW403" s="26">
        <f>G403*AO403</f>
        <v>0</v>
      </c>
      <c r="AX403" s="29" t="s">
        <v>914</v>
      </c>
      <c r="AY403" s="29" t="s">
        <v>931</v>
      </c>
      <c r="AZ403" s="24" t="s">
        <v>937</v>
      </c>
      <c r="BB403" s="26">
        <f>AV403+AW403</f>
        <v>0</v>
      </c>
      <c r="BC403" s="26">
        <f>H403/(100-BD403)*100</f>
        <v>0</v>
      </c>
      <c r="BD403" s="26">
        <v>0</v>
      </c>
      <c r="BE403" s="26">
        <f>M403</f>
        <v>0</v>
      </c>
      <c r="BG403" s="17">
        <f>G403*AN403</f>
        <v>0</v>
      </c>
      <c r="BH403" s="17">
        <f>G403*AO403</f>
        <v>0</v>
      </c>
      <c r="BI403" s="17">
        <f>G403*H403</f>
        <v>0</v>
      </c>
      <c r="BJ403" s="17" t="s">
        <v>946</v>
      </c>
      <c r="BK403" s="26"/>
    </row>
    <row r="404" spans="1:14" s="58" customFormat="1" ht="25.5" customHeight="1">
      <c r="A404" s="57"/>
      <c r="C404" s="59" t="s">
        <v>991</v>
      </c>
      <c r="D404" s="232" t="s">
        <v>1129</v>
      </c>
      <c r="E404" s="233"/>
      <c r="F404" s="233"/>
      <c r="G404" s="233"/>
      <c r="H404" s="233"/>
      <c r="I404" s="233"/>
      <c r="J404" s="233"/>
      <c r="K404" s="233"/>
      <c r="L404" s="233"/>
      <c r="M404" s="233"/>
      <c r="N404" s="57"/>
    </row>
    <row r="405" spans="1:63" ht="12.75">
      <c r="A405" s="6" t="s">
        <v>221</v>
      </c>
      <c r="B405" s="13" t="s">
        <v>273</v>
      </c>
      <c r="C405" s="54" t="s">
        <v>1135</v>
      </c>
      <c r="D405" s="238" t="s">
        <v>1136</v>
      </c>
      <c r="E405" s="239"/>
      <c r="F405" s="63" t="s">
        <v>850</v>
      </c>
      <c r="G405" s="105">
        <v>6575.2</v>
      </c>
      <c r="H405" s="105"/>
      <c r="I405" s="17">
        <f>G405*AN405</f>
        <v>0</v>
      </c>
      <c r="J405" s="17">
        <f>G405*AO405</f>
        <v>0</v>
      </c>
      <c r="K405" s="126">
        <f>G405*H405</f>
        <v>0</v>
      </c>
      <c r="L405" s="17">
        <v>0</v>
      </c>
      <c r="M405" s="17">
        <f>G405*L405</f>
        <v>0</v>
      </c>
      <c r="N405" s="5"/>
      <c r="Y405" s="26">
        <f>IF(AP405="5",BI405,0)</f>
        <v>0</v>
      </c>
      <c r="AA405" s="26">
        <f>IF(AP405="1",BG405,0)</f>
        <v>0</v>
      </c>
      <c r="AB405" s="26">
        <f>IF(AP405="1",BH405,0)</f>
        <v>0</v>
      </c>
      <c r="AC405" s="26">
        <f>IF(AP405="7",BG405,0)</f>
        <v>0</v>
      </c>
      <c r="AD405" s="26">
        <f>IF(AP405="7",BH405,0)</f>
        <v>0</v>
      </c>
      <c r="AE405" s="26">
        <f>IF(AP405="2",BG405,0)</f>
        <v>0</v>
      </c>
      <c r="AF405" s="26">
        <f>IF(AP405="2",BH405,0)</f>
        <v>0</v>
      </c>
      <c r="AG405" s="26">
        <f>IF(AP405="0",BI405,0)</f>
        <v>0</v>
      </c>
      <c r="AH405" s="24" t="s">
        <v>273</v>
      </c>
      <c r="AI405" s="17">
        <f>IF(AM405=0,K405,0)</f>
        <v>0</v>
      </c>
      <c r="AJ405" s="17">
        <f>IF(AM405=15,K405,0)</f>
        <v>0</v>
      </c>
      <c r="AK405" s="17">
        <f>IF(AM405=21,K405,0)</f>
        <v>0</v>
      </c>
      <c r="AM405" s="26">
        <v>15</v>
      </c>
      <c r="AN405" s="26">
        <f>H405*1</f>
        <v>0</v>
      </c>
      <c r="AO405" s="26">
        <f>H405*(1-1)</f>
        <v>0</v>
      </c>
      <c r="AP405" s="28" t="s">
        <v>881</v>
      </c>
      <c r="AU405" s="26">
        <f>AV405+AW405</f>
        <v>0</v>
      </c>
      <c r="AV405" s="26">
        <f>G405*AN405</f>
        <v>0</v>
      </c>
      <c r="AW405" s="26">
        <f>G405*AO405</f>
        <v>0</v>
      </c>
      <c r="AX405" s="29" t="s">
        <v>914</v>
      </c>
      <c r="AY405" s="29" t="s">
        <v>931</v>
      </c>
      <c r="AZ405" s="24" t="s">
        <v>937</v>
      </c>
      <c r="BB405" s="26">
        <f>AV405+AW405</f>
        <v>0</v>
      </c>
      <c r="BC405" s="26">
        <f>H405/(100-BD405)*100</f>
        <v>0</v>
      </c>
      <c r="BD405" s="26">
        <v>0</v>
      </c>
      <c r="BE405" s="26">
        <f>M405</f>
        <v>0</v>
      </c>
      <c r="BG405" s="17">
        <f>G405*AN405</f>
        <v>0</v>
      </c>
      <c r="BH405" s="17">
        <f>G405*AO405</f>
        <v>0</v>
      </c>
      <c r="BI405" s="17">
        <f>G405*H405</f>
        <v>0</v>
      </c>
      <c r="BJ405" s="17" t="s">
        <v>946</v>
      </c>
      <c r="BK405" s="26"/>
    </row>
    <row r="406" spans="1:14" s="58" customFormat="1" ht="14.25" customHeight="1">
      <c r="A406" s="57"/>
      <c r="C406" s="59" t="s">
        <v>991</v>
      </c>
      <c r="D406" s="232" t="s">
        <v>1137</v>
      </c>
      <c r="E406" s="233"/>
      <c r="F406" s="233"/>
      <c r="G406" s="233"/>
      <c r="H406" s="233"/>
      <c r="I406" s="233"/>
      <c r="J406" s="233"/>
      <c r="K406" s="233"/>
      <c r="L406" s="233"/>
      <c r="M406" s="233"/>
      <c r="N406" s="57"/>
    </row>
    <row r="407" spans="1:63" ht="12.75">
      <c r="A407" s="6" t="s">
        <v>222</v>
      </c>
      <c r="B407" s="13" t="s">
        <v>273</v>
      </c>
      <c r="C407" s="54" t="s">
        <v>1131</v>
      </c>
      <c r="D407" s="238" t="s">
        <v>1130</v>
      </c>
      <c r="E407" s="239"/>
      <c r="F407" s="63" t="s">
        <v>847</v>
      </c>
      <c r="G407" s="105">
        <v>17.9</v>
      </c>
      <c r="H407" s="105"/>
      <c r="I407" s="17">
        <f>G407*AN407</f>
        <v>0</v>
      </c>
      <c r="J407" s="17">
        <f>G407*AO407</f>
        <v>0</v>
      </c>
      <c r="K407" s="126">
        <f>G407*H407</f>
        <v>0</v>
      </c>
      <c r="L407" s="17">
        <v>0.02</v>
      </c>
      <c r="M407" s="17">
        <f>G407*L407</f>
        <v>0.358</v>
      </c>
      <c r="N407" s="5"/>
      <c r="Y407" s="26">
        <f>IF(AP407="5",BI407,0)</f>
        <v>0</v>
      </c>
      <c r="AA407" s="26">
        <f>IF(AP407="1",BG407,0)</f>
        <v>0</v>
      </c>
      <c r="AB407" s="26">
        <f>IF(AP407="1",BH407,0)</f>
        <v>0</v>
      </c>
      <c r="AC407" s="26">
        <f>IF(AP407="7",BG407,0)</f>
        <v>0</v>
      </c>
      <c r="AD407" s="26">
        <f>IF(AP407="7",BH407,0)</f>
        <v>0</v>
      </c>
      <c r="AE407" s="26">
        <f>IF(AP407="2",BG407,0)</f>
        <v>0</v>
      </c>
      <c r="AF407" s="26">
        <f>IF(AP407="2",BH407,0)</f>
        <v>0</v>
      </c>
      <c r="AG407" s="26">
        <f>IF(AP407="0",BI407,0)</f>
        <v>0</v>
      </c>
      <c r="AH407" s="24" t="s">
        <v>273</v>
      </c>
      <c r="AI407" s="17">
        <f>IF(AM407=0,K407,0)</f>
        <v>0</v>
      </c>
      <c r="AJ407" s="17">
        <f>IF(AM407=15,K407,0)</f>
        <v>0</v>
      </c>
      <c r="AK407" s="17">
        <f>IF(AM407=21,K407,0)</f>
        <v>0</v>
      </c>
      <c r="AM407" s="26">
        <v>15</v>
      </c>
      <c r="AN407" s="26">
        <f>H407*1</f>
        <v>0</v>
      </c>
      <c r="AO407" s="26">
        <f>H407*(1-1)</f>
        <v>0</v>
      </c>
      <c r="AP407" s="28" t="s">
        <v>881</v>
      </c>
      <c r="AU407" s="26">
        <f>AV407+AW407</f>
        <v>0</v>
      </c>
      <c r="AV407" s="26">
        <f>G407*AN407</f>
        <v>0</v>
      </c>
      <c r="AW407" s="26">
        <f>G407*AO407</f>
        <v>0</v>
      </c>
      <c r="AX407" s="29" t="s">
        <v>914</v>
      </c>
      <c r="AY407" s="29" t="s">
        <v>931</v>
      </c>
      <c r="AZ407" s="24" t="s">
        <v>937</v>
      </c>
      <c r="BB407" s="26">
        <f>AV407+AW407</f>
        <v>0</v>
      </c>
      <c r="BC407" s="26">
        <f>H407/(100-BD407)*100</f>
        <v>0</v>
      </c>
      <c r="BD407" s="26">
        <v>0</v>
      </c>
      <c r="BE407" s="26">
        <f>M407</f>
        <v>0.358</v>
      </c>
      <c r="BG407" s="17">
        <f>G407*AN407</f>
        <v>0</v>
      </c>
      <c r="BH407" s="17">
        <f>G407*AO407</f>
        <v>0</v>
      </c>
      <c r="BI407" s="17">
        <f>G407*H407</f>
        <v>0</v>
      </c>
      <c r="BJ407" s="17" t="s">
        <v>946</v>
      </c>
      <c r="BK407" s="26"/>
    </row>
    <row r="408" spans="1:14" s="58" customFormat="1" ht="14.25" customHeight="1">
      <c r="A408" s="57"/>
      <c r="C408" s="59" t="s">
        <v>991</v>
      </c>
      <c r="D408" s="232" t="s">
        <v>1132</v>
      </c>
      <c r="E408" s="233"/>
      <c r="F408" s="233"/>
      <c r="G408" s="233"/>
      <c r="H408" s="233"/>
      <c r="I408" s="233"/>
      <c r="J408" s="233"/>
      <c r="K408" s="233"/>
      <c r="L408" s="233"/>
      <c r="M408" s="233"/>
      <c r="N408" s="57"/>
    </row>
    <row r="409" spans="1:63" ht="12.75">
      <c r="A409" s="6" t="s">
        <v>223</v>
      </c>
      <c r="B409" s="13" t="s">
        <v>273</v>
      </c>
      <c r="C409" s="54" t="s">
        <v>1144</v>
      </c>
      <c r="D409" s="238" t="s">
        <v>785</v>
      </c>
      <c r="E409" s="239"/>
      <c r="F409" s="63" t="s">
        <v>846</v>
      </c>
      <c r="G409" s="105">
        <v>417.5</v>
      </c>
      <c r="H409" s="105"/>
      <c r="I409" s="17">
        <f>G409*AN409</f>
        <v>0</v>
      </c>
      <c r="J409" s="17">
        <f>G409*AO409</f>
        <v>0</v>
      </c>
      <c r="K409" s="126">
        <f>G409*H409</f>
        <v>0</v>
      </c>
      <c r="L409" s="17">
        <v>0</v>
      </c>
      <c r="M409" s="17">
        <f>G409*L409</f>
        <v>0</v>
      </c>
      <c r="N409" s="5"/>
      <c r="Y409" s="26">
        <f>IF(AP409="5",BI409,0)</f>
        <v>0</v>
      </c>
      <c r="AA409" s="26">
        <f>IF(AP409="1",BG409,0)</f>
        <v>0</v>
      </c>
      <c r="AB409" s="26">
        <f>IF(AP409="1",BH409,0)</f>
        <v>0</v>
      </c>
      <c r="AC409" s="26">
        <f>IF(AP409="7",BG409,0)</f>
        <v>0</v>
      </c>
      <c r="AD409" s="26">
        <f>IF(AP409="7",BH409,0)</f>
        <v>0</v>
      </c>
      <c r="AE409" s="26">
        <f>IF(AP409="2",BG409,0)</f>
        <v>0</v>
      </c>
      <c r="AF409" s="26">
        <f>IF(AP409="2",BH409,0)</f>
        <v>0</v>
      </c>
      <c r="AG409" s="26">
        <f>IF(AP409="0",BI409,0)</f>
        <v>0</v>
      </c>
      <c r="AH409" s="24" t="s">
        <v>273</v>
      </c>
      <c r="AI409" s="17">
        <f>IF(AM409=0,K409,0)</f>
        <v>0</v>
      </c>
      <c r="AJ409" s="17">
        <f>IF(AM409=15,K409,0)</f>
        <v>0</v>
      </c>
      <c r="AK409" s="17">
        <f>IF(AM409=21,K409,0)</f>
        <v>0</v>
      </c>
      <c r="AM409" s="26">
        <v>15</v>
      </c>
      <c r="AN409" s="26">
        <f>H409*1</f>
        <v>0</v>
      </c>
      <c r="AO409" s="26">
        <f>H409*(1-1)</f>
        <v>0</v>
      </c>
      <c r="AP409" s="28" t="s">
        <v>881</v>
      </c>
      <c r="AU409" s="26">
        <f>AV409+AW409</f>
        <v>0</v>
      </c>
      <c r="AV409" s="26">
        <f>G409*AN409</f>
        <v>0</v>
      </c>
      <c r="AW409" s="26">
        <f>G409*AO409</f>
        <v>0</v>
      </c>
      <c r="AX409" s="29" t="s">
        <v>914</v>
      </c>
      <c r="AY409" s="29" t="s">
        <v>931</v>
      </c>
      <c r="AZ409" s="24" t="s">
        <v>937</v>
      </c>
      <c r="BB409" s="26">
        <f>AV409+AW409</f>
        <v>0</v>
      </c>
      <c r="BC409" s="26">
        <f>H409/(100-BD409)*100</f>
        <v>0</v>
      </c>
      <c r="BD409" s="26">
        <v>0</v>
      </c>
      <c r="BE409" s="26">
        <f>M409</f>
        <v>0</v>
      </c>
      <c r="BG409" s="17">
        <f>G409*AN409</f>
        <v>0</v>
      </c>
      <c r="BH409" s="17">
        <f>G409*AO409</f>
        <v>0</v>
      </c>
      <c r="BI409" s="17">
        <f>G409*H409</f>
        <v>0</v>
      </c>
      <c r="BJ409" s="17" t="s">
        <v>946</v>
      </c>
      <c r="BK409" s="26"/>
    </row>
    <row r="410" spans="1:14" s="58" customFormat="1" ht="12.75">
      <c r="A410" s="57"/>
      <c r="C410" s="59" t="s">
        <v>991</v>
      </c>
      <c r="D410" s="232" t="s">
        <v>1133</v>
      </c>
      <c r="E410" s="233"/>
      <c r="F410" s="233"/>
      <c r="G410" s="233"/>
      <c r="H410" s="233"/>
      <c r="I410" s="233"/>
      <c r="J410" s="233"/>
      <c r="K410" s="233"/>
      <c r="L410" s="233"/>
      <c r="M410" s="233"/>
      <c r="N410" s="57"/>
    </row>
    <row r="411" spans="1:63" ht="12.75">
      <c r="A411" s="6" t="s">
        <v>224</v>
      </c>
      <c r="B411" s="13" t="s">
        <v>273</v>
      </c>
      <c r="C411" s="54" t="s">
        <v>1145</v>
      </c>
      <c r="D411" s="238" t="s">
        <v>786</v>
      </c>
      <c r="E411" s="239"/>
      <c r="F411" s="63" t="s">
        <v>846</v>
      </c>
      <c r="G411" s="105">
        <v>417.5</v>
      </c>
      <c r="H411" s="105"/>
      <c r="I411" s="17">
        <f>G411*AN411</f>
        <v>0</v>
      </c>
      <c r="J411" s="17">
        <f>G411*AO411</f>
        <v>0</v>
      </c>
      <c r="K411" s="126">
        <f>G411*H411</f>
        <v>0</v>
      </c>
      <c r="L411" s="17">
        <v>0</v>
      </c>
      <c r="M411" s="17">
        <f>G411*L411</f>
        <v>0</v>
      </c>
      <c r="N411" s="5"/>
      <c r="Y411" s="26">
        <f>IF(AP411="5",BI411,0)</f>
        <v>0</v>
      </c>
      <c r="AA411" s="26">
        <f>IF(AP411="1",BG411,0)</f>
        <v>0</v>
      </c>
      <c r="AB411" s="26">
        <f>IF(AP411="1",BH411,0)</f>
        <v>0</v>
      </c>
      <c r="AC411" s="26">
        <f>IF(AP411="7",BG411,0)</f>
        <v>0</v>
      </c>
      <c r="AD411" s="26">
        <f>IF(AP411="7",BH411,0)</f>
        <v>0</v>
      </c>
      <c r="AE411" s="26">
        <f>IF(AP411="2",BG411,0)</f>
        <v>0</v>
      </c>
      <c r="AF411" s="26">
        <f>IF(AP411="2",BH411,0)</f>
        <v>0</v>
      </c>
      <c r="AG411" s="26">
        <f>IF(AP411="0",BI411,0)</f>
        <v>0</v>
      </c>
      <c r="AH411" s="24" t="s">
        <v>273</v>
      </c>
      <c r="AI411" s="17">
        <f>IF(AM411=0,K411,0)</f>
        <v>0</v>
      </c>
      <c r="AJ411" s="17">
        <f>IF(AM411=15,K411,0)</f>
        <v>0</v>
      </c>
      <c r="AK411" s="17">
        <f>IF(AM411=21,K411,0)</f>
        <v>0</v>
      </c>
      <c r="AM411" s="26">
        <v>15</v>
      </c>
      <c r="AN411" s="26">
        <f>H411*1</f>
        <v>0</v>
      </c>
      <c r="AO411" s="26">
        <f>H411*(1-1)</f>
        <v>0</v>
      </c>
      <c r="AP411" s="28" t="s">
        <v>881</v>
      </c>
      <c r="AU411" s="26">
        <f>AV411+AW411</f>
        <v>0</v>
      </c>
      <c r="AV411" s="26">
        <f>G411*AN411</f>
        <v>0</v>
      </c>
      <c r="AW411" s="26">
        <f>G411*AO411</f>
        <v>0</v>
      </c>
      <c r="AX411" s="29" t="s">
        <v>914</v>
      </c>
      <c r="AY411" s="29" t="s">
        <v>931</v>
      </c>
      <c r="AZ411" s="24" t="s">
        <v>937</v>
      </c>
      <c r="BB411" s="26">
        <f>AV411+AW411</f>
        <v>0</v>
      </c>
      <c r="BC411" s="26">
        <f>H411/(100-BD411)*100</f>
        <v>0</v>
      </c>
      <c r="BD411" s="26">
        <v>0</v>
      </c>
      <c r="BE411" s="26">
        <f>M411</f>
        <v>0</v>
      </c>
      <c r="BG411" s="17">
        <f>G411*AN411</f>
        <v>0</v>
      </c>
      <c r="BH411" s="17">
        <f>G411*AO411</f>
        <v>0</v>
      </c>
      <c r="BI411" s="17">
        <f>G411*H411</f>
        <v>0</v>
      </c>
      <c r="BJ411" s="17" t="s">
        <v>946</v>
      </c>
      <c r="BK411" s="26"/>
    </row>
    <row r="412" spans="1:14" s="58" customFormat="1" ht="13.5" customHeight="1">
      <c r="A412" s="57"/>
      <c r="C412" s="59" t="s">
        <v>991</v>
      </c>
      <c r="D412" s="232" t="s">
        <v>1134</v>
      </c>
      <c r="E412" s="233"/>
      <c r="F412" s="233"/>
      <c r="G412" s="233"/>
      <c r="H412" s="233"/>
      <c r="I412" s="233"/>
      <c r="J412" s="233"/>
      <c r="K412" s="233"/>
      <c r="L412" s="233"/>
      <c r="M412" s="233"/>
      <c r="N412" s="57"/>
    </row>
    <row r="413" spans="1:63" ht="12.75">
      <c r="A413" s="6" t="s">
        <v>225</v>
      </c>
      <c r="B413" s="13" t="s">
        <v>273</v>
      </c>
      <c r="C413" s="54" t="s">
        <v>501</v>
      </c>
      <c r="D413" s="238" t="s">
        <v>787</v>
      </c>
      <c r="E413" s="239"/>
      <c r="F413" s="63" t="s">
        <v>849</v>
      </c>
      <c r="G413" s="105">
        <v>1</v>
      </c>
      <c r="H413" s="105"/>
      <c r="I413" s="17">
        <f aca="true" t="shared" si="152" ref="I413:I439">G413*AN413</f>
        <v>0</v>
      </c>
      <c r="J413" s="17">
        <f aca="true" t="shared" si="153" ref="J413:J439">G413*AO413</f>
        <v>0</v>
      </c>
      <c r="K413" s="126">
        <f aca="true" t="shared" si="154" ref="K413:K441">G413*H413</f>
        <v>0</v>
      </c>
      <c r="L413" s="17">
        <v>0</v>
      </c>
      <c r="M413" s="17">
        <f aca="true" t="shared" si="155" ref="M413:M441">G413*L413</f>
        <v>0</v>
      </c>
      <c r="N413" s="5"/>
      <c r="Y413" s="26">
        <f aca="true" t="shared" si="156" ref="Y413:Y441">IF(AP413="5",BI413,0)</f>
        <v>0</v>
      </c>
      <c r="AA413" s="26">
        <f aca="true" t="shared" si="157" ref="AA413:AA441">IF(AP413="1",BG413,0)</f>
        <v>0</v>
      </c>
      <c r="AB413" s="26">
        <f aca="true" t="shared" si="158" ref="AB413:AB441">IF(AP413="1",BH413,0)</f>
        <v>0</v>
      </c>
      <c r="AC413" s="26">
        <f aca="true" t="shared" si="159" ref="AC413:AC441">IF(AP413="7",BG413,0)</f>
        <v>0</v>
      </c>
      <c r="AD413" s="26">
        <f aca="true" t="shared" si="160" ref="AD413:AD441">IF(AP413="7",BH413,0)</f>
        <v>0</v>
      </c>
      <c r="AE413" s="26">
        <f aca="true" t="shared" si="161" ref="AE413:AE441">IF(AP413="2",BG413,0)</f>
        <v>0</v>
      </c>
      <c r="AF413" s="26">
        <f aca="true" t="shared" si="162" ref="AF413:AF441">IF(AP413="2",BH413,0)</f>
        <v>0</v>
      </c>
      <c r="AG413" s="26">
        <f aca="true" t="shared" si="163" ref="AG413:AG441">IF(AP413="0",BI413,0)</f>
        <v>0</v>
      </c>
      <c r="AH413" s="24" t="s">
        <v>273</v>
      </c>
      <c r="AI413" s="17">
        <f aca="true" t="shared" si="164" ref="AI413:AI439">IF(AM413=0,K413,0)</f>
        <v>0</v>
      </c>
      <c r="AJ413" s="17">
        <f aca="true" t="shared" si="165" ref="AJ413:AJ439">IF(AM413=15,K413,0)</f>
        <v>0</v>
      </c>
      <c r="AK413" s="17">
        <f aca="true" t="shared" si="166" ref="AK413:AK439">IF(AM413=21,K413,0)</f>
        <v>0</v>
      </c>
      <c r="AM413" s="26">
        <v>15</v>
      </c>
      <c r="AN413" s="26">
        <f aca="true" t="shared" si="167" ref="AN413:AN439">H413*1</f>
        <v>0</v>
      </c>
      <c r="AO413" s="26">
        <f aca="true" t="shared" si="168" ref="AO413:AO439">H413*(1-1)</f>
        <v>0</v>
      </c>
      <c r="AP413" s="28" t="s">
        <v>881</v>
      </c>
      <c r="AU413" s="26">
        <f aca="true" t="shared" si="169" ref="AU413:AU441">AV413+AW413</f>
        <v>0</v>
      </c>
      <c r="AV413" s="26">
        <f aca="true" t="shared" si="170" ref="AV413:AV439">G413*AN413</f>
        <v>0</v>
      </c>
      <c r="AW413" s="26">
        <f aca="true" t="shared" si="171" ref="AW413:AW439">G413*AO413</f>
        <v>0</v>
      </c>
      <c r="AX413" s="29" t="s">
        <v>914</v>
      </c>
      <c r="AY413" s="29" t="s">
        <v>931</v>
      </c>
      <c r="AZ413" s="24" t="s">
        <v>937</v>
      </c>
      <c r="BB413" s="26">
        <f aca="true" t="shared" si="172" ref="BB413:BB441">AV413+AW413</f>
        <v>0</v>
      </c>
      <c r="BC413" s="26">
        <f aca="true" t="shared" si="173" ref="BC413:BC439">H413/(100-BD413)*100</f>
        <v>0</v>
      </c>
      <c r="BD413" s="26">
        <v>0</v>
      </c>
      <c r="BE413" s="26">
        <f aca="true" t="shared" si="174" ref="BE413:BE441">M413</f>
        <v>0</v>
      </c>
      <c r="BG413" s="17">
        <f aca="true" t="shared" si="175" ref="BG413:BG439">G413*AN413</f>
        <v>0</v>
      </c>
      <c r="BH413" s="17">
        <f aca="true" t="shared" si="176" ref="BH413:BH439">G413*AO413</f>
        <v>0</v>
      </c>
      <c r="BI413" s="17">
        <f aca="true" t="shared" si="177" ref="BI413:BI441">G413*H413</f>
        <v>0</v>
      </c>
      <c r="BJ413" s="17" t="s">
        <v>946</v>
      </c>
      <c r="BK413" s="26"/>
    </row>
    <row r="414" spans="1:63" ht="12.75">
      <c r="A414" s="6" t="s">
        <v>226</v>
      </c>
      <c r="B414" s="13" t="s">
        <v>273</v>
      </c>
      <c r="C414" s="54" t="s">
        <v>502</v>
      </c>
      <c r="D414" s="238" t="s">
        <v>788</v>
      </c>
      <c r="E414" s="239"/>
      <c r="F414" s="63" t="s">
        <v>849</v>
      </c>
      <c r="G414" s="105">
        <v>6</v>
      </c>
      <c r="H414" s="105"/>
      <c r="I414" s="17">
        <f t="shared" si="152"/>
        <v>0</v>
      </c>
      <c r="J414" s="17">
        <f t="shared" si="153"/>
        <v>0</v>
      </c>
      <c r="K414" s="126">
        <f t="shared" si="154"/>
        <v>0</v>
      </c>
      <c r="L414" s="17">
        <v>0</v>
      </c>
      <c r="M414" s="17">
        <f t="shared" si="155"/>
        <v>0</v>
      </c>
      <c r="N414" s="5"/>
      <c r="Y414" s="26">
        <f t="shared" si="156"/>
        <v>0</v>
      </c>
      <c r="AA414" s="26">
        <f t="shared" si="157"/>
        <v>0</v>
      </c>
      <c r="AB414" s="26">
        <f t="shared" si="158"/>
        <v>0</v>
      </c>
      <c r="AC414" s="26">
        <f t="shared" si="159"/>
        <v>0</v>
      </c>
      <c r="AD414" s="26">
        <f t="shared" si="160"/>
        <v>0</v>
      </c>
      <c r="AE414" s="26">
        <f t="shared" si="161"/>
        <v>0</v>
      </c>
      <c r="AF414" s="26">
        <f t="shared" si="162"/>
        <v>0</v>
      </c>
      <c r="AG414" s="26">
        <f t="shared" si="163"/>
        <v>0</v>
      </c>
      <c r="AH414" s="24" t="s">
        <v>273</v>
      </c>
      <c r="AI414" s="17">
        <f t="shared" si="164"/>
        <v>0</v>
      </c>
      <c r="AJ414" s="17">
        <f t="shared" si="165"/>
        <v>0</v>
      </c>
      <c r="AK414" s="17">
        <f t="shared" si="166"/>
        <v>0</v>
      </c>
      <c r="AM414" s="26">
        <v>15</v>
      </c>
      <c r="AN414" s="26">
        <f t="shared" si="167"/>
        <v>0</v>
      </c>
      <c r="AO414" s="26">
        <f t="shared" si="168"/>
        <v>0</v>
      </c>
      <c r="AP414" s="28" t="s">
        <v>881</v>
      </c>
      <c r="AU414" s="26">
        <f t="shared" si="169"/>
        <v>0</v>
      </c>
      <c r="AV414" s="26">
        <f t="shared" si="170"/>
        <v>0</v>
      </c>
      <c r="AW414" s="26">
        <f t="shared" si="171"/>
        <v>0</v>
      </c>
      <c r="AX414" s="29" t="s">
        <v>914</v>
      </c>
      <c r="AY414" s="29" t="s">
        <v>931</v>
      </c>
      <c r="AZ414" s="24" t="s">
        <v>937</v>
      </c>
      <c r="BB414" s="26">
        <f t="shared" si="172"/>
        <v>0</v>
      </c>
      <c r="BC414" s="26">
        <f t="shared" si="173"/>
        <v>0</v>
      </c>
      <c r="BD414" s="26">
        <v>0</v>
      </c>
      <c r="BE414" s="26">
        <f t="shared" si="174"/>
        <v>0</v>
      </c>
      <c r="BG414" s="17">
        <f t="shared" si="175"/>
        <v>0</v>
      </c>
      <c r="BH414" s="17">
        <f t="shared" si="176"/>
        <v>0</v>
      </c>
      <c r="BI414" s="17">
        <f t="shared" si="177"/>
        <v>0</v>
      </c>
      <c r="BJ414" s="17" t="s">
        <v>946</v>
      </c>
      <c r="BK414" s="26"/>
    </row>
    <row r="415" spans="1:63" ht="12.75">
      <c r="A415" s="6" t="s">
        <v>227</v>
      </c>
      <c r="B415" s="13" t="s">
        <v>273</v>
      </c>
      <c r="C415" s="54" t="s">
        <v>503</v>
      </c>
      <c r="D415" s="238" t="s">
        <v>789</v>
      </c>
      <c r="E415" s="239"/>
      <c r="F415" s="63" t="s">
        <v>849</v>
      </c>
      <c r="G415" s="105">
        <v>4</v>
      </c>
      <c r="H415" s="105"/>
      <c r="I415" s="17">
        <f t="shared" si="152"/>
        <v>0</v>
      </c>
      <c r="J415" s="17">
        <f t="shared" si="153"/>
        <v>0</v>
      </c>
      <c r="K415" s="126">
        <f t="shared" si="154"/>
        <v>0</v>
      </c>
      <c r="L415" s="17">
        <v>0</v>
      </c>
      <c r="M415" s="17">
        <f t="shared" si="155"/>
        <v>0</v>
      </c>
      <c r="N415" s="5"/>
      <c r="Y415" s="26">
        <f t="shared" si="156"/>
        <v>0</v>
      </c>
      <c r="AA415" s="26">
        <f t="shared" si="157"/>
        <v>0</v>
      </c>
      <c r="AB415" s="26">
        <f t="shared" si="158"/>
        <v>0</v>
      </c>
      <c r="AC415" s="26">
        <f t="shared" si="159"/>
        <v>0</v>
      </c>
      <c r="AD415" s="26">
        <f t="shared" si="160"/>
        <v>0</v>
      </c>
      <c r="AE415" s="26">
        <f t="shared" si="161"/>
        <v>0</v>
      </c>
      <c r="AF415" s="26">
        <f t="shared" si="162"/>
        <v>0</v>
      </c>
      <c r="AG415" s="26">
        <f t="shared" si="163"/>
        <v>0</v>
      </c>
      <c r="AH415" s="24" t="s">
        <v>273</v>
      </c>
      <c r="AI415" s="17">
        <f t="shared" si="164"/>
        <v>0</v>
      </c>
      <c r="AJ415" s="17">
        <f t="shared" si="165"/>
        <v>0</v>
      </c>
      <c r="AK415" s="17">
        <f t="shared" si="166"/>
        <v>0</v>
      </c>
      <c r="AM415" s="26">
        <v>15</v>
      </c>
      <c r="AN415" s="26">
        <f t="shared" si="167"/>
        <v>0</v>
      </c>
      <c r="AO415" s="26">
        <f t="shared" si="168"/>
        <v>0</v>
      </c>
      <c r="AP415" s="28" t="s">
        <v>881</v>
      </c>
      <c r="AU415" s="26">
        <f t="shared" si="169"/>
        <v>0</v>
      </c>
      <c r="AV415" s="26">
        <f t="shared" si="170"/>
        <v>0</v>
      </c>
      <c r="AW415" s="26">
        <f t="shared" si="171"/>
        <v>0</v>
      </c>
      <c r="AX415" s="29" t="s">
        <v>914</v>
      </c>
      <c r="AY415" s="29" t="s">
        <v>931</v>
      </c>
      <c r="AZ415" s="24" t="s">
        <v>937</v>
      </c>
      <c r="BB415" s="26">
        <f t="shared" si="172"/>
        <v>0</v>
      </c>
      <c r="BC415" s="26">
        <f t="shared" si="173"/>
        <v>0</v>
      </c>
      <c r="BD415" s="26">
        <v>0</v>
      </c>
      <c r="BE415" s="26">
        <f t="shared" si="174"/>
        <v>0</v>
      </c>
      <c r="BG415" s="17">
        <f t="shared" si="175"/>
        <v>0</v>
      </c>
      <c r="BH415" s="17">
        <f t="shared" si="176"/>
        <v>0</v>
      </c>
      <c r="BI415" s="17">
        <f t="shared" si="177"/>
        <v>0</v>
      </c>
      <c r="BJ415" s="17" t="s">
        <v>946</v>
      </c>
      <c r="BK415" s="26"/>
    </row>
    <row r="416" spans="1:63" ht="12.75">
      <c r="A416" s="6" t="s">
        <v>228</v>
      </c>
      <c r="B416" s="13" t="s">
        <v>273</v>
      </c>
      <c r="C416" s="54" t="s">
        <v>504</v>
      </c>
      <c r="D416" s="238" t="s">
        <v>790</v>
      </c>
      <c r="E416" s="239"/>
      <c r="F416" s="63" t="s">
        <v>849</v>
      </c>
      <c r="G416" s="105">
        <v>2</v>
      </c>
      <c r="H416" s="105"/>
      <c r="I416" s="17">
        <f t="shared" si="152"/>
        <v>0</v>
      </c>
      <c r="J416" s="17">
        <f t="shared" si="153"/>
        <v>0</v>
      </c>
      <c r="K416" s="126">
        <f t="shared" si="154"/>
        <v>0</v>
      </c>
      <c r="L416" s="17">
        <v>0</v>
      </c>
      <c r="M416" s="17">
        <f t="shared" si="155"/>
        <v>0</v>
      </c>
      <c r="N416" s="5"/>
      <c r="Y416" s="26">
        <f t="shared" si="156"/>
        <v>0</v>
      </c>
      <c r="AA416" s="26">
        <f t="shared" si="157"/>
        <v>0</v>
      </c>
      <c r="AB416" s="26">
        <f t="shared" si="158"/>
        <v>0</v>
      </c>
      <c r="AC416" s="26">
        <f t="shared" si="159"/>
        <v>0</v>
      </c>
      <c r="AD416" s="26">
        <f t="shared" si="160"/>
        <v>0</v>
      </c>
      <c r="AE416" s="26">
        <f t="shared" si="161"/>
        <v>0</v>
      </c>
      <c r="AF416" s="26">
        <f t="shared" si="162"/>
        <v>0</v>
      </c>
      <c r="AG416" s="26">
        <f t="shared" si="163"/>
        <v>0</v>
      </c>
      <c r="AH416" s="24" t="s">
        <v>273</v>
      </c>
      <c r="AI416" s="17">
        <f t="shared" si="164"/>
        <v>0</v>
      </c>
      <c r="AJ416" s="17">
        <f t="shared" si="165"/>
        <v>0</v>
      </c>
      <c r="AK416" s="17">
        <f t="shared" si="166"/>
        <v>0</v>
      </c>
      <c r="AM416" s="26">
        <v>15</v>
      </c>
      <c r="AN416" s="26">
        <f t="shared" si="167"/>
        <v>0</v>
      </c>
      <c r="AO416" s="26">
        <f t="shared" si="168"/>
        <v>0</v>
      </c>
      <c r="AP416" s="28" t="s">
        <v>881</v>
      </c>
      <c r="AU416" s="26">
        <f t="shared" si="169"/>
        <v>0</v>
      </c>
      <c r="AV416" s="26">
        <f t="shared" si="170"/>
        <v>0</v>
      </c>
      <c r="AW416" s="26">
        <f t="shared" si="171"/>
        <v>0</v>
      </c>
      <c r="AX416" s="29" t="s">
        <v>914</v>
      </c>
      <c r="AY416" s="29" t="s">
        <v>931</v>
      </c>
      <c r="AZ416" s="24" t="s">
        <v>937</v>
      </c>
      <c r="BB416" s="26">
        <f t="shared" si="172"/>
        <v>0</v>
      </c>
      <c r="BC416" s="26">
        <f t="shared" si="173"/>
        <v>0</v>
      </c>
      <c r="BD416" s="26">
        <v>0</v>
      </c>
      <c r="BE416" s="26">
        <f t="shared" si="174"/>
        <v>0</v>
      </c>
      <c r="BG416" s="17">
        <f t="shared" si="175"/>
        <v>0</v>
      </c>
      <c r="BH416" s="17">
        <f t="shared" si="176"/>
        <v>0</v>
      </c>
      <c r="BI416" s="17">
        <f t="shared" si="177"/>
        <v>0</v>
      </c>
      <c r="BJ416" s="17" t="s">
        <v>946</v>
      </c>
      <c r="BK416" s="26"/>
    </row>
    <row r="417" spans="1:63" ht="12.75">
      <c r="A417" s="6" t="s">
        <v>229</v>
      </c>
      <c r="B417" s="13" t="s">
        <v>273</v>
      </c>
      <c r="C417" s="54" t="s">
        <v>505</v>
      </c>
      <c r="D417" s="238" t="s">
        <v>791</v>
      </c>
      <c r="E417" s="239"/>
      <c r="F417" s="63" t="s">
        <v>849</v>
      </c>
      <c r="G417" s="105">
        <v>1</v>
      </c>
      <c r="H417" s="105"/>
      <c r="I417" s="17">
        <f t="shared" si="152"/>
        <v>0</v>
      </c>
      <c r="J417" s="17">
        <f t="shared" si="153"/>
        <v>0</v>
      </c>
      <c r="K417" s="126">
        <f t="shared" si="154"/>
        <v>0</v>
      </c>
      <c r="L417" s="17">
        <v>0</v>
      </c>
      <c r="M417" s="17">
        <f t="shared" si="155"/>
        <v>0</v>
      </c>
      <c r="N417" s="5"/>
      <c r="Y417" s="26">
        <f t="shared" si="156"/>
        <v>0</v>
      </c>
      <c r="AA417" s="26">
        <f t="shared" si="157"/>
        <v>0</v>
      </c>
      <c r="AB417" s="26">
        <f t="shared" si="158"/>
        <v>0</v>
      </c>
      <c r="AC417" s="26">
        <f t="shared" si="159"/>
        <v>0</v>
      </c>
      <c r="AD417" s="26">
        <f t="shared" si="160"/>
        <v>0</v>
      </c>
      <c r="AE417" s="26">
        <f t="shared" si="161"/>
        <v>0</v>
      </c>
      <c r="AF417" s="26">
        <f t="shared" si="162"/>
        <v>0</v>
      </c>
      <c r="AG417" s="26">
        <f t="shared" si="163"/>
        <v>0</v>
      </c>
      <c r="AH417" s="24" t="s">
        <v>273</v>
      </c>
      <c r="AI417" s="17">
        <f t="shared" si="164"/>
        <v>0</v>
      </c>
      <c r="AJ417" s="17">
        <f t="shared" si="165"/>
        <v>0</v>
      </c>
      <c r="AK417" s="17">
        <f t="shared" si="166"/>
        <v>0</v>
      </c>
      <c r="AM417" s="26">
        <v>15</v>
      </c>
      <c r="AN417" s="26">
        <f t="shared" si="167"/>
        <v>0</v>
      </c>
      <c r="AO417" s="26">
        <f t="shared" si="168"/>
        <v>0</v>
      </c>
      <c r="AP417" s="28" t="s">
        <v>881</v>
      </c>
      <c r="AU417" s="26">
        <f t="shared" si="169"/>
        <v>0</v>
      </c>
      <c r="AV417" s="26">
        <f t="shared" si="170"/>
        <v>0</v>
      </c>
      <c r="AW417" s="26">
        <f t="shared" si="171"/>
        <v>0</v>
      </c>
      <c r="AX417" s="29" t="s">
        <v>914</v>
      </c>
      <c r="AY417" s="29" t="s">
        <v>931</v>
      </c>
      <c r="AZ417" s="24" t="s">
        <v>937</v>
      </c>
      <c r="BB417" s="26">
        <f t="shared" si="172"/>
        <v>0</v>
      </c>
      <c r="BC417" s="26">
        <f t="shared" si="173"/>
        <v>0</v>
      </c>
      <c r="BD417" s="26">
        <v>0</v>
      </c>
      <c r="BE417" s="26">
        <f t="shared" si="174"/>
        <v>0</v>
      </c>
      <c r="BG417" s="17">
        <f t="shared" si="175"/>
        <v>0</v>
      </c>
      <c r="BH417" s="17">
        <f t="shared" si="176"/>
        <v>0</v>
      </c>
      <c r="BI417" s="17">
        <f t="shared" si="177"/>
        <v>0</v>
      </c>
      <c r="BJ417" s="17" t="s">
        <v>946</v>
      </c>
      <c r="BK417" s="26"/>
    </row>
    <row r="418" spans="1:63" ht="12.75">
      <c r="A418" s="6" t="s">
        <v>230</v>
      </c>
      <c r="B418" s="13" t="s">
        <v>273</v>
      </c>
      <c r="C418" s="54" t="s">
        <v>506</v>
      </c>
      <c r="D418" s="238" t="s">
        <v>792</v>
      </c>
      <c r="E418" s="239"/>
      <c r="F418" s="63" t="s">
        <v>849</v>
      </c>
      <c r="G418" s="105">
        <v>2</v>
      </c>
      <c r="H418" s="105"/>
      <c r="I418" s="17">
        <f t="shared" si="152"/>
        <v>0</v>
      </c>
      <c r="J418" s="17">
        <f t="shared" si="153"/>
        <v>0</v>
      </c>
      <c r="K418" s="126">
        <f t="shared" si="154"/>
        <v>0</v>
      </c>
      <c r="L418" s="17">
        <v>0</v>
      </c>
      <c r="M418" s="17">
        <f t="shared" si="155"/>
        <v>0</v>
      </c>
      <c r="N418" s="5"/>
      <c r="Y418" s="26">
        <f t="shared" si="156"/>
        <v>0</v>
      </c>
      <c r="AA418" s="26">
        <f t="shared" si="157"/>
        <v>0</v>
      </c>
      <c r="AB418" s="26">
        <f t="shared" si="158"/>
        <v>0</v>
      </c>
      <c r="AC418" s="26">
        <f t="shared" si="159"/>
        <v>0</v>
      </c>
      <c r="AD418" s="26">
        <f t="shared" si="160"/>
        <v>0</v>
      </c>
      <c r="AE418" s="26">
        <f t="shared" si="161"/>
        <v>0</v>
      </c>
      <c r="AF418" s="26">
        <f t="shared" si="162"/>
        <v>0</v>
      </c>
      <c r="AG418" s="26">
        <f t="shared" si="163"/>
        <v>0</v>
      </c>
      <c r="AH418" s="24" t="s">
        <v>273</v>
      </c>
      <c r="AI418" s="17">
        <f t="shared" si="164"/>
        <v>0</v>
      </c>
      <c r="AJ418" s="17">
        <f t="shared" si="165"/>
        <v>0</v>
      </c>
      <c r="AK418" s="17">
        <f t="shared" si="166"/>
        <v>0</v>
      </c>
      <c r="AM418" s="26">
        <v>15</v>
      </c>
      <c r="AN418" s="26">
        <f t="shared" si="167"/>
        <v>0</v>
      </c>
      <c r="AO418" s="26">
        <f t="shared" si="168"/>
        <v>0</v>
      </c>
      <c r="AP418" s="28" t="s">
        <v>881</v>
      </c>
      <c r="AU418" s="26">
        <f t="shared" si="169"/>
        <v>0</v>
      </c>
      <c r="AV418" s="26">
        <f t="shared" si="170"/>
        <v>0</v>
      </c>
      <c r="AW418" s="26">
        <f t="shared" si="171"/>
        <v>0</v>
      </c>
      <c r="AX418" s="29" t="s">
        <v>914</v>
      </c>
      <c r="AY418" s="29" t="s">
        <v>931</v>
      </c>
      <c r="AZ418" s="24" t="s">
        <v>937</v>
      </c>
      <c r="BB418" s="26">
        <f t="shared" si="172"/>
        <v>0</v>
      </c>
      <c r="BC418" s="26">
        <f t="shared" si="173"/>
        <v>0</v>
      </c>
      <c r="BD418" s="26">
        <v>0</v>
      </c>
      <c r="BE418" s="26">
        <f t="shared" si="174"/>
        <v>0</v>
      </c>
      <c r="BG418" s="17">
        <f t="shared" si="175"/>
        <v>0</v>
      </c>
      <c r="BH418" s="17">
        <f t="shared" si="176"/>
        <v>0</v>
      </c>
      <c r="BI418" s="17">
        <f t="shared" si="177"/>
        <v>0</v>
      </c>
      <c r="BJ418" s="17" t="s">
        <v>946</v>
      </c>
      <c r="BK418" s="26"/>
    </row>
    <row r="419" spans="1:63" ht="12.75">
      <c r="A419" s="6" t="s">
        <v>231</v>
      </c>
      <c r="B419" s="13" t="s">
        <v>273</v>
      </c>
      <c r="C419" s="54" t="s">
        <v>507</v>
      </c>
      <c r="D419" s="238" t="s">
        <v>793</v>
      </c>
      <c r="E419" s="239"/>
      <c r="F419" s="63" t="s">
        <v>849</v>
      </c>
      <c r="G419" s="105">
        <v>1</v>
      </c>
      <c r="H419" s="105"/>
      <c r="I419" s="17">
        <f t="shared" si="152"/>
        <v>0</v>
      </c>
      <c r="J419" s="17">
        <f t="shared" si="153"/>
        <v>0</v>
      </c>
      <c r="K419" s="126">
        <f t="shared" si="154"/>
        <v>0</v>
      </c>
      <c r="L419" s="17">
        <v>0</v>
      </c>
      <c r="M419" s="17">
        <f t="shared" si="155"/>
        <v>0</v>
      </c>
      <c r="N419" s="5"/>
      <c r="Y419" s="26">
        <f t="shared" si="156"/>
        <v>0</v>
      </c>
      <c r="AA419" s="26">
        <f t="shared" si="157"/>
        <v>0</v>
      </c>
      <c r="AB419" s="26">
        <f t="shared" si="158"/>
        <v>0</v>
      </c>
      <c r="AC419" s="26">
        <f t="shared" si="159"/>
        <v>0</v>
      </c>
      <c r="AD419" s="26">
        <f t="shared" si="160"/>
        <v>0</v>
      </c>
      <c r="AE419" s="26">
        <f t="shared" si="161"/>
        <v>0</v>
      </c>
      <c r="AF419" s="26">
        <f t="shared" si="162"/>
        <v>0</v>
      </c>
      <c r="AG419" s="26">
        <f t="shared" si="163"/>
        <v>0</v>
      </c>
      <c r="AH419" s="24" t="s">
        <v>273</v>
      </c>
      <c r="AI419" s="17">
        <f t="shared" si="164"/>
        <v>0</v>
      </c>
      <c r="AJ419" s="17">
        <f t="shared" si="165"/>
        <v>0</v>
      </c>
      <c r="AK419" s="17">
        <f t="shared" si="166"/>
        <v>0</v>
      </c>
      <c r="AM419" s="26">
        <v>15</v>
      </c>
      <c r="AN419" s="26">
        <f t="shared" si="167"/>
        <v>0</v>
      </c>
      <c r="AO419" s="26">
        <f t="shared" si="168"/>
        <v>0</v>
      </c>
      <c r="AP419" s="28" t="s">
        <v>881</v>
      </c>
      <c r="AU419" s="26">
        <f t="shared" si="169"/>
        <v>0</v>
      </c>
      <c r="AV419" s="26">
        <f t="shared" si="170"/>
        <v>0</v>
      </c>
      <c r="AW419" s="26">
        <f t="shared" si="171"/>
        <v>0</v>
      </c>
      <c r="AX419" s="29" t="s">
        <v>914</v>
      </c>
      <c r="AY419" s="29" t="s">
        <v>931</v>
      </c>
      <c r="AZ419" s="24" t="s">
        <v>937</v>
      </c>
      <c r="BB419" s="26">
        <f t="shared" si="172"/>
        <v>0</v>
      </c>
      <c r="BC419" s="26">
        <f t="shared" si="173"/>
        <v>0</v>
      </c>
      <c r="BD419" s="26">
        <v>0</v>
      </c>
      <c r="BE419" s="26">
        <f t="shared" si="174"/>
        <v>0</v>
      </c>
      <c r="BG419" s="17">
        <f t="shared" si="175"/>
        <v>0</v>
      </c>
      <c r="BH419" s="17">
        <f t="shared" si="176"/>
        <v>0</v>
      </c>
      <c r="BI419" s="17">
        <f t="shared" si="177"/>
        <v>0</v>
      </c>
      <c r="BJ419" s="17" t="s">
        <v>946</v>
      </c>
      <c r="BK419" s="26"/>
    </row>
    <row r="420" spans="1:63" ht="12.75">
      <c r="A420" s="6" t="s">
        <v>232</v>
      </c>
      <c r="B420" s="13" t="s">
        <v>273</v>
      </c>
      <c r="C420" s="54" t="s">
        <v>508</v>
      </c>
      <c r="D420" s="238" t="s">
        <v>794</v>
      </c>
      <c r="E420" s="239"/>
      <c r="F420" s="63" t="s">
        <v>849</v>
      </c>
      <c r="G420" s="105">
        <v>1</v>
      </c>
      <c r="H420" s="105"/>
      <c r="I420" s="17">
        <f t="shared" si="152"/>
        <v>0</v>
      </c>
      <c r="J420" s="17">
        <f t="shared" si="153"/>
        <v>0</v>
      </c>
      <c r="K420" s="126">
        <f t="shared" si="154"/>
        <v>0</v>
      </c>
      <c r="L420" s="17">
        <v>0</v>
      </c>
      <c r="M420" s="17">
        <f t="shared" si="155"/>
        <v>0</v>
      </c>
      <c r="N420" s="5"/>
      <c r="Y420" s="26">
        <f t="shared" si="156"/>
        <v>0</v>
      </c>
      <c r="AA420" s="26">
        <f t="shared" si="157"/>
        <v>0</v>
      </c>
      <c r="AB420" s="26">
        <f t="shared" si="158"/>
        <v>0</v>
      </c>
      <c r="AC420" s="26">
        <f t="shared" si="159"/>
        <v>0</v>
      </c>
      <c r="AD420" s="26">
        <f t="shared" si="160"/>
        <v>0</v>
      </c>
      <c r="AE420" s="26">
        <f t="shared" si="161"/>
        <v>0</v>
      </c>
      <c r="AF420" s="26">
        <f t="shared" si="162"/>
        <v>0</v>
      </c>
      <c r="AG420" s="26">
        <f t="shared" si="163"/>
        <v>0</v>
      </c>
      <c r="AH420" s="24" t="s">
        <v>273</v>
      </c>
      <c r="AI420" s="17">
        <f t="shared" si="164"/>
        <v>0</v>
      </c>
      <c r="AJ420" s="17">
        <f t="shared" si="165"/>
        <v>0</v>
      </c>
      <c r="AK420" s="17">
        <f t="shared" si="166"/>
        <v>0</v>
      </c>
      <c r="AM420" s="26">
        <v>15</v>
      </c>
      <c r="AN420" s="26">
        <f t="shared" si="167"/>
        <v>0</v>
      </c>
      <c r="AO420" s="26">
        <f t="shared" si="168"/>
        <v>0</v>
      </c>
      <c r="AP420" s="28" t="s">
        <v>881</v>
      </c>
      <c r="AU420" s="26">
        <f t="shared" si="169"/>
        <v>0</v>
      </c>
      <c r="AV420" s="26">
        <f t="shared" si="170"/>
        <v>0</v>
      </c>
      <c r="AW420" s="26">
        <f t="shared" si="171"/>
        <v>0</v>
      </c>
      <c r="AX420" s="29" t="s">
        <v>914</v>
      </c>
      <c r="AY420" s="29" t="s">
        <v>931</v>
      </c>
      <c r="AZ420" s="24" t="s">
        <v>937</v>
      </c>
      <c r="BB420" s="26">
        <f t="shared" si="172"/>
        <v>0</v>
      </c>
      <c r="BC420" s="26">
        <f t="shared" si="173"/>
        <v>0</v>
      </c>
      <c r="BD420" s="26">
        <v>0</v>
      </c>
      <c r="BE420" s="26">
        <f t="shared" si="174"/>
        <v>0</v>
      </c>
      <c r="BG420" s="17">
        <f t="shared" si="175"/>
        <v>0</v>
      </c>
      <c r="BH420" s="17">
        <f t="shared" si="176"/>
        <v>0</v>
      </c>
      <c r="BI420" s="17">
        <f t="shared" si="177"/>
        <v>0</v>
      </c>
      <c r="BJ420" s="17" t="s">
        <v>946</v>
      </c>
      <c r="BK420" s="26"/>
    </row>
    <row r="421" spans="1:63" ht="12.75">
      <c r="A421" s="6" t="s">
        <v>233</v>
      </c>
      <c r="B421" s="13" t="s">
        <v>273</v>
      </c>
      <c r="C421" s="54" t="s">
        <v>509</v>
      </c>
      <c r="D421" s="238" t="s">
        <v>795</v>
      </c>
      <c r="E421" s="239"/>
      <c r="F421" s="63" t="s">
        <v>849</v>
      </c>
      <c r="G421" s="105">
        <v>2</v>
      </c>
      <c r="H421" s="105"/>
      <c r="I421" s="17">
        <f t="shared" si="152"/>
        <v>0</v>
      </c>
      <c r="J421" s="17">
        <f t="shared" si="153"/>
        <v>0</v>
      </c>
      <c r="K421" s="126">
        <f t="shared" si="154"/>
        <v>0</v>
      </c>
      <c r="L421" s="17">
        <v>0</v>
      </c>
      <c r="M421" s="17">
        <f t="shared" si="155"/>
        <v>0</v>
      </c>
      <c r="N421" s="5"/>
      <c r="Y421" s="26">
        <f t="shared" si="156"/>
        <v>0</v>
      </c>
      <c r="AA421" s="26">
        <f t="shared" si="157"/>
        <v>0</v>
      </c>
      <c r="AB421" s="26">
        <f t="shared" si="158"/>
        <v>0</v>
      </c>
      <c r="AC421" s="26">
        <f t="shared" si="159"/>
        <v>0</v>
      </c>
      <c r="AD421" s="26">
        <f t="shared" si="160"/>
        <v>0</v>
      </c>
      <c r="AE421" s="26">
        <f t="shared" si="161"/>
        <v>0</v>
      </c>
      <c r="AF421" s="26">
        <f t="shared" si="162"/>
        <v>0</v>
      </c>
      <c r="AG421" s="26">
        <f t="shared" si="163"/>
        <v>0</v>
      </c>
      <c r="AH421" s="24" t="s">
        <v>273</v>
      </c>
      <c r="AI421" s="17">
        <f t="shared" si="164"/>
        <v>0</v>
      </c>
      <c r="AJ421" s="17">
        <f t="shared" si="165"/>
        <v>0</v>
      </c>
      <c r="AK421" s="17">
        <f t="shared" si="166"/>
        <v>0</v>
      </c>
      <c r="AM421" s="26">
        <v>15</v>
      </c>
      <c r="AN421" s="26">
        <f t="shared" si="167"/>
        <v>0</v>
      </c>
      <c r="AO421" s="26">
        <f t="shared" si="168"/>
        <v>0</v>
      </c>
      <c r="AP421" s="28" t="s">
        <v>881</v>
      </c>
      <c r="AU421" s="26">
        <f t="shared" si="169"/>
        <v>0</v>
      </c>
      <c r="AV421" s="26">
        <f t="shared" si="170"/>
        <v>0</v>
      </c>
      <c r="AW421" s="26">
        <f t="shared" si="171"/>
        <v>0</v>
      </c>
      <c r="AX421" s="29" t="s">
        <v>914</v>
      </c>
      <c r="AY421" s="29" t="s">
        <v>931</v>
      </c>
      <c r="AZ421" s="24" t="s">
        <v>937</v>
      </c>
      <c r="BB421" s="26">
        <f t="shared" si="172"/>
        <v>0</v>
      </c>
      <c r="BC421" s="26">
        <f t="shared" si="173"/>
        <v>0</v>
      </c>
      <c r="BD421" s="26">
        <v>0</v>
      </c>
      <c r="BE421" s="26">
        <f t="shared" si="174"/>
        <v>0</v>
      </c>
      <c r="BG421" s="17">
        <f t="shared" si="175"/>
        <v>0</v>
      </c>
      <c r="BH421" s="17">
        <f t="shared" si="176"/>
        <v>0</v>
      </c>
      <c r="BI421" s="17">
        <f t="shared" si="177"/>
        <v>0</v>
      </c>
      <c r="BJ421" s="17" t="s">
        <v>946</v>
      </c>
      <c r="BK421" s="26"/>
    </row>
    <row r="422" spans="1:63" ht="12.75">
      <c r="A422" s="6" t="s">
        <v>234</v>
      </c>
      <c r="B422" s="13" t="s">
        <v>273</v>
      </c>
      <c r="C422" s="54" t="s">
        <v>510</v>
      </c>
      <c r="D422" s="238" t="s">
        <v>796</v>
      </c>
      <c r="E422" s="239"/>
      <c r="F422" s="63" t="s">
        <v>849</v>
      </c>
      <c r="G422" s="105">
        <v>3</v>
      </c>
      <c r="H422" s="105"/>
      <c r="I422" s="17">
        <f t="shared" si="152"/>
        <v>0</v>
      </c>
      <c r="J422" s="17">
        <f t="shared" si="153"/>
        <v>0</v>
      </c>
      <c r="K422" s="126">
        <f t="shared" si="154"/>
        <v>0</v>
      </c>
      <c r="L422" s="17">
        <v>0</v>
      </c>
      <c r="M422" s="17">
        <f t="shared" si="155"/>
        <v>0</v>
      </c>
      <c r="N422" s="5"/>
      <c r="Y422" s="26">
        <f t="shared" si="156"/>
        <v>0</v>
      </c>
      <c r="AA422" s="26">
        <f t="shared" si="157"/>
        <v>0</v>
      </c>
      <c r="AB422" s="26">
        <f t="shared" si="158"/>
        <v>0</v>
      </c>
      <c r="AC422" s="26">
        <f t="shared" si="159"/>
        <v>0</v>
      </c>
      <c r="AD422" s="26">
        <f t="shared" si="160"/>
        <v>0</v>
      </c>
      <c r="AE422" s="26">
        <f t="shared" si="161"/>
        <v>0</v>
      </c>
      <c r="AF422" s="26">
        <f t="shared" si="162"/>
        <v>0</v>
      </c>
      <c r="AG422" s="26">
        <f t="shared" si="163"/>
        <v>0</v>
      </c>
      <c r="AH422" s="24" t="s">
        <v>273</v>
      </c>
      <c r="AI422" s="17">
        <f t="shared" si="164"/>
        <v>0</v>
      </c>
      <c r="AJ422" s="17">
        <f t="shared" si="165"/>
        <v>0</v>
      </c>
      <c r="AK422" s="17">
        <f t="shared" si="166"/>
        <v>0</v>
      </c>
      <c r="AM422" s="26">
        <v>15</v>
      </c>
      <c r="AN422" s="26">
        <f t="shared" si="167"/>
        <v>0</v>
      </c>
      <c r="AO422" s="26">
        <f t="shared" si="168"/>
        <v>0</v>
      </c>
      <c r="AP422" s="28" t="s">
        <v>881</v>
      </c>
      <c r="AU422" s="26">
        <f t="shared" si="169"/>
        <v>0</v>
      </c>
      <c r="AV422" s="26">
        <f t="shared" si="170"/>
        <v>0</v>
      </c>
      <c r="AW422" s="26">
        <f t="shared" si="171"/>
        <v>0</v>
      </c>
      <c r="AX422" s="29" t="s">
        <v>914</v>
      </c>
      <c r="AY422" s="29" t="s">
        <v>931</v>
      </c>
      <c r="AZ422" s="24" t="s">
        <v>937</v>
      </c>
      <c r="BB422" s="26">
        <f t="shared" si="172"/>
        <v>0</v>
      </c>
      <c r="BC422" s="26">
        <f t="shared" si="173"/>
        <v>0</v>
      </c>
      <c r="BD422" s="26">
        <v>0</v>
      </c>
      <c r="BE422" s="26">
        <f t="shared" si="174"/>
        <v>0</v>
      </c>
      <c r="BG422" s="17">
        <f t="shared" si="175"/>
        <v>0</v>
      </c>
      <c r="BH422" s="17">
        <f t="shared" si="176"/>
        <v>0</v>
      </c>
      <c r="BI422" s="17">
        <f t="shared" si="177"/>
        <v>0</v>
      </c>
      <c r="BJ422" s="17" t="s">
        <v>946</v>
      </c>
      <c r="BK422" s="26"/>
    </row>
    <row r="423" spans="1:63" ht="12.75">
      <c r="A423" s="6" t="s">
        <v>235</v>
      </c>
      <c r="B423" s="13" t="s">
        <v>273</v>
      </c>
      <c r="C423" s="54" t="s">
        <v>511</v>
      </c>
      <c r="D423" s="238" t="s">
        <v>797</v>
      </c>
      <c r="E423" s="239"/>
      <c r="F423" s="63" t="s">
        <v>849</v>
      </c>
      <c r="G423" s="105">
        <v>1</v>
      </c>
      <c r="H423" s="105"/>
      <c r="I423" s="17">
        <f t="shared" si="152"/>
        <v>0</v>
      </c>
      <c r="J423" s="17">
        <f t="shared" si="153"/>
        <v>0</v>
      </c>
      <c r="K423" s="126">
        <f t="shared" si="154"/>
        <v>0</v>
      </c>
      <c r="L423" s="17">
        <v>0</v>
      </c>
      <c r="M423" s="17">
        <f t="shared" si="155"/>
        <v>0</v>
      </c>
      <c r="N423" s="5"/>
      <c r="Y423" s="26">
        <f t="shared" si="156"/>
        <v>0</v>
      </c>
      <c r="AA423" s="26">
        <f t="shared" si="157"/>
        <v>0</v>
      </c>
      <c r="AB423" s="26">
        <f t="shared" si="158"/>
        <v>0</v>
      </c>
      <c r="AC423" s="26">
        <f t="shared" si="159"/>
        <v>0</v>
      </c>
      <c r="AD423" s="26">
        <f t="shared" si="160"/>
        <v>0</v>
      </c>
      <c r="AE423" s="26">
        <f t="shared" si="161"/>
        <v>0</v>
      </c>
      <c r="AF423" s="26">
        <f t="shared" si="162"/>
        <v>0</v>
      </c>
      <c r="AG423" s="26">
        <f t="shared" si="163"/>
        <v>0</v>
      </c>
      <c r="AH423" s="24" t="s">
        <v>273</v>
      </c>
      <c r="AI423" s="17">
        <f t="shared" si="164"/>
        <v>0</v>
      </c>
      <c r="AJ423" s="17">
        <f t="shared" si="165"/>
        <v>0</v>
      </c>
      <c r="AK423" s="17">
        <f t="shared" si="166"/>
        <v>0</v>
      </c>
      <c r="AM423" s="26">
        <v>15</v>
      </c>
      <c r="AN423" s="26">
        <f t="shared" si="167"/>
        <v>0</v>
      </c>
      <c r="AO423" s="26">
        <f t="shared" si="168"/>
        <v>0</v>
      </c>
      <c r="AP423" s="28" t="s">
        <v>881</v>
      </c>
      <c r="AU423" s="26">
        <f t="shared" si="169"/>
        <v>0</v>
      </c>
      <c r="AV423" s="26">
        <f t="shared" si="170"/>
        <v>0</v>
      </c>
      <c r="AW423" s="26">
        <f t="shared" si="171"/>
        <v>0</v>
      </c>
      <c r="AX423" s="29" t="s">
        <v>914</v>
      </c>
      <c r="AY423" s="29" t="s">
        <v>931</v>
      </c>
      <c r="AZ423" s="24" t="s">
        <v>937</v>
      </c>
      <c r="BB423" s="26">
        <f t="shared" si="172"/>
        <v>0</v>
      </c>
      <c r="BC423" s="26">
        <f t="shared" si="173"/>
        <v>0</v>
      </c>
      <c r="BD423" s="26">
        <v>0</v>
      </c>
      <c r="BE423" s="26">
        <f t="shared" si="174"/>
        <v>0</v>
      </c>
      <c r="BG423" s="17">
        <f t="shared" si="175"/>
        <v>0</v>
      </c>
      <c r="BH423" s="17">
        <f t="shared" si="176"/>
        <v>0</v>
      </c>
      <c r="BI423" s="17">
        <f t="shared" si="177"/>
        <v>0</v>
      </c>
      <c r="BJ423" s="17" t="s">
        <v>946</v>
      </c>
      <c r="BK423" s="26"/>
    </row>
    <row r="424" spans="1:63" ht="12.75">
      <c r="A424" s="6" t="s">
        <v>236</v>
      </c>
      <c r="B424" s="13" t="s">
        <v>273</v>
      </c>
      <c r="C424" s="54" t="s">
        <v>512</v>
      </c>
      <c r="D424" s="238" t="s">
        <v>798</v>
      </c>
      <c r="E424" s="239"/>
      <c r="F424" s="63" t="s">
        <v>849</v>
      </c>
      <c r="G424" s="105">
        <v>1</v>
      </c>
      <c r="H424" s="105"/>
      <c r="I424" s="17">
        <f t="shared" si="152"/>
        <v>0</v>
      </c>
      <c r="J424" s="17">
        <f t="shared" si="153"/>
        <v>0</v>
      </c>
      <c r="K424" s="126">
        <f t="shared" si="154"/>
        <v>0</v>
      </c>
      <c r="L424" s="17">
        <v>0</v>
      </c>
      <c r="M424" s="17">
        <f t="shared" si="155"/>
        <v>0</v>
      </c>
      <c r="N424" s="5"/>
      <c r="Y424" s="26">
        <f t="shared" si="156"/>
        <v>0</v>
      </c>
      <c r="AA424" s="26">
        <f t="shared" si="157"/>
        <v>0</v>
      </c>
      <c r="AB424" s="26">
        <f t="shared" si="158"/>
        <v>0</v>
      </c>
      <c r="AC424" s="26">
        <f t="shared" si="159"/>
        <v>0</v>
      </c>
      <c r="AD424" s="26">
        <f t="shared" si="160"/>
        <v>0</v>
      </c>
      <c r="AE424" s="26">
        <f t="shared" si="161"/>
        <v>0</v>
      </c>
      <c r="AF424" s="26">
        <f t="shared" si="162"/>
        <v>0</v>
      </c>
      <c r="AG424" s="26">
        <f t="shared" si="163"/>
        <v>0</v>
      </c>
      <c r="AH424" s="24" t="s">
        <v>273</v>
      </c>
      <c r="AI424" s="17">
        <f t="shared" si="164"/>
        <v>0</v>
      </c>
      <c r="AJ424" s="17">
        <f t="shared" si="165"/>
        <v>0</v>
      </c>
      <c r="AK424" s="17">
        <f t="shared" si="166"/>
        <v>0</v>
      </c>
      <c r="AM424" s="26">
        <v>15</v>
      </c>
      <c r="AN424" s="26">
        <f t="shared" si="167"/>
        <v>0</v>
      </c>
      <c r="AO424" s="26">
        <f t="shared" si="168"/>
        <v>0</v>
      </c>
      <c r="AP424" s="28" t="s">
        <v>881</v>
      </c>
      <c r="AU424" s="26">
        <f t="shared" si="169"/>
        <v>0</v>
      </c>
      <c r="AV424" s="26">
        <f t="shared" si="170"/>
        <v>0</v>
      </c>
      <c r="AW424" s="26">
        <f t="shared" si="171"/>
        <v>0</v>
      </c>
      <c r="AX424" s="29" t="s">
        <v>914</v>
      </c>
      <c r="AY424" s="29" t="s">
        <v>931</v>
      </c>
      <c r="AZ424" s="24" t="s">
        <v>937</v>
      </c>
      <c r="BB424" s="26">
        <f t="shared" si="172"/>
        <v>0</v>
      </c>
      <c r="BC424" s="26">
        <f t="shared" si="173"/>
        <v>0</v>
      </c>
      <c r="BD424" s="26">
        <v>0</v>
      </c>
      <c r="BE424" s="26">
        <f t="shared" si="174"/>
        <v>0</v>
      </c>
      <c r="BG424" s="17">
        <f t="shared" si="175"/>
        <v>0</v>
      </c>
      <c r="BH424" s="17">
        <f t="shared" si="176"/>
        <v>0</v>
      </c>
      <c r="BI424" s="17">
        <f t="shared" si="177"/>
        <v>0</v>
      </c>
      <c r="BJ424" s="17" t="s">
        <v>946</v>
      </c>
      <c r="BK424" s="26"/>
    </row>
    <row r="425" spans="1:63" ht="12.75">
      <c r="A425" s="6" t="s">
        <v>237</v>
      </c>
      <c r="B425" s="13" t="s">
        <v>273</v>
      </c>
      <c r="C425" s="54" t="s">
        <v>513</v>
      </c>
      <c r="D425" s="238" t="s">
        <v>799</v>
      </c>
      <c r="E425" s="239"/>
      <c r="F425" s="63" t="s">
        <v>849</v>
      </c>
      <c r="G425" s="105">
        <v>1</v>
      </c>
      <c r="H425" s="105"/>
      <c r="I425" s="17">
        <f t="shared" si="152"/>
        <v>0</v>
      </c>
      <c r="J425" s="17">
        <f t="shared" si="153"/>
        <v>0</v>
      </c>
      <c r="K425" s="126">
        <f t="shared" si="154"/>
        <v>0</v>
      </c>
      <c r="L425" s="17">
        <v>0</v>
      </c>
      <c r="M425" s="17">
        <f t="shared" si="155"/>
        <v>0</v>
      </c>
      <c r="N425" s="5"/>
      <c r="Y425" s="26">
        <f t="shared" si="156"/>
        <v>0</v>
      </c>
      <c r="AA425" s="26">
        <f t="shared" si="157"/>
        <v>0</v>
      </c>
      <c r="AB425" s="26">
        <f t="shared" si="158"/>
        <v>0</v>
      </c>
      <c r="AC425" s="26">
        <f t="shared" si="159"/>
        <v>0</v>
      </c>
      <c r="AD425" s="26">
        <f t="shared" si="160"/>
        <v>0</v>
      </c>
      <c r="AE425" s="26">
        <f t="shared" si="161"/>
        <v>0</v>
      </c>
      <c r="AF425" s="26">
        <f t="shared" si="162"/>
        <v>0</v>
      </c>
      <c r="AG425" s="26">
        <f t="shared" si="163"/>
        <v>0</v>
      </c>
      <c r="AH425" s="24" t="s">
        <v>273</v>
      </c>
      <c r="AI425" s="17">
        <f t="shared" si="164"/>
        <v>0</v>
      </c>
      <c r="AJ425" s="17">
        <f t="shared" si="165"/>
        <v>0</v>
      </c>
      <c r="AK425" s="17">
        <f t="shared" si="166"/>
        <v>0</v>
      </c>
      <c r="AM425" s="26">
        <v>15</v>
      </c>
      <c r="AN425" s="26">
        <f t="shared" si="167"/>
        <v>0</v>
      </c>
      <c r="AO425" s="26">
        <f t="shared" si="168"/>
        <v>0</v>
      </c>
      <c r="AP425" s="28" t="s">
        <v>881</v>
      </c>
      <c r="AU425" s="26">
        <f t="shared" si="169"/>
        <v>0</v>
      </c>
      <c r="AV425" s="26">
        <f t="shared" si="170"/>
        <v>0</v>
      </c>
      <c r="AW425" s="26">
        <f t="shared" si="171"/>
        <v>0</v>
      </c>
      <c r="AX425" s="29" t="s">
        <v>914</v>
      </c>
      <c r="AY425" s="29" t="s">
        <v>931</v>
      </c>
      <c r="AZ425" s="24" t="s">
        <v>937</v>
      </c>
      <c r="BB425" s="26">
        <f t="shared" si="172"/>
        <v>0</v>
      </c>
      <c r="BC425" s="26">
        <f t="shared" si="173"/>
        <v>0</v>
      </c>
      <c r="BD425" s="26">
        <v>0</v>
      </c>
      <c r="BE425" s="26">
        <f t="shared" si="174"/>
        <v>0</v>
      </c>
      <c r="BG425" s="17">
        <f t="shared" si="175"/>
        <v>0</v>
      </c>
      <c r="BH425" s="17">
        <f t="shared" si="176"/>
        <v>0</v>
      </c>
      <c r="BI425" s="17">
        <f t="shared" si="177"/>
        <v>0</v>
      </c>
      <c r="BJ425" s="17" t="s">
        <v>946</v>
      </c>
      <c r="BK425" s="26"/>
    </row>
    <row r="426" spans="1:63" ht="12.75">
      <c r="A426" s="6" t="s">
        <v>238</v>
      </c>
      <c r="B426" s="13" t="s">
        <v>273</v>
      </c>
      <c r="C426" s="54" t="s">
        <v>514</v>
      </c>
      <c r="D426" s="238" t="s">
        <v>800</v>
      </c>
      <c r="E426" s="239"/>
      <c r="F426" s="63" t="s">
        <v>849</v>
      </c>
      <c r="G426" s="105">
        <v>1</v>
      </c>
      <c r="H426" s="105"/>
      <c r="I426" s="17">
        <f t="shared" si="152"/>
        <v>0</v>
      </c>
      <c r="J426" s="17">
        <f t="shared" si="153"/>
        <v>0</v>
      </c>
      <c r="K426" s="126">
        <f t="shared" si="154"/>
        <v>0</v>
      </c>
      <c r="L426" s="17">
        <v>0</v>
      </c>
      <c r="M426" s="17">
        <f t="shared" si="155"/>
        <v>0</v>
      </c>
      <c r="N426" s="5"/>
      <c r="Y426" s="26">
        <f t="shared" si="156"/>
        <v>0</v>
      </c>
      <c r="AA426" s="26">
        <f t="shared" si="157"/>
        <v>0</v>
      </c>
      <c r="AB426" s="26">
        <f t="shared" si="158"/>
        <v>0</v>
      </c>
      <c r="AC426" s="26">
        <f t="shared" si="159"/>
        <v>0</v>
      </c>
      <c r="AD426" s="26">
        <f t="shared" si="160"/>
        <v>0</v>
      </c>
      <c r="AE426" s="26">
        <f t="shared" si="161"/>
        <v>0</v>
      </c>
      <c r="AF426" s="26">
        <f t="shared" si="162"/>
        <v>0</v>
      </c>
      <c r="AG426" s="26">
        <f t="shared" si="163"/>
        <v>0</v>
      </c>
      <c r="AH426" s="24" t="s">
        <v>273</v>
      </c>
      <c r="AI426" s="17">
        <f t="shared" si="164"/>
        <v>0</v>
      </c>
      <c r="AJ426" s="17">
        <f t="shared" si="165"/>
        <v>0</v>
      </c>
      <c r="AK426" s="17">
        <f t="shared" si="166"/>
        <v>0</v>
      </c>
      <c r="AM426" s="26">
        <v>15</v>
      </c>
      <c r="AN426" s="26">
        <f t="shared" si="167"/>
        <v>0</v>
      </c>
      <c r="AO426" s="26">
        <f t="shared" si="168"/>
        <v>0</v>
      </c>
      <c r="AP426" s="28" t="s">
        <v>881</v>
      </c>
      <c r="AU426" s="26">
        <f t="shared" si="169"/>
        <v>0</v>
      </c>
      <c r="AV426" s="26">
        <f t="shared" si="170"/>
        <v>0</v>
      </c>
      <c r="AW426" s="26">
        <f t="shared" si="171"/>
        <v>0</v>
      </c>
      <c r="AX426" s="29" t="s">
        <v>914</v>
      </c>
      <c r="AY426" s="29" t="s">
        <v>931</v>
      </c>
      <c r="AZ426" s="24" t="s">
        <v>937</v>
      </c>
      <c r="BB426" s="26">
        <f t="shared" si="172"/>
        <v>0</v>
      </c>
      <c r="BC426" s="26">
        <f t="shared" si="173"/>
        <v>0</v>
      </c>
      <c r="BD426" s="26">
        <v>0</v>
      </c>
      <c r="BE426" s="26">
        <f t="shared" si="174"/>
        <v>0</v>
      </c>
      <c r="BG426" s="17">
        <f t="shared" si="175"/>
        <v>0</v>
      </c>
      <c r="BH426" s="17">
        <f t="shared" si="176"/>
        <v>0</v>
      </c>
      <c r="BI426" s="17">
        <f t="shared" si="177"/>
        <v>0</v>
      </c>
      <c r="BJ426" s="17" t="s">
        <v>946</v>
      </c>
      <c r="BK426" s="26"/>
    </row>
    <row r="427" spans="1:63" ht="12.75">
      <c r="A427" s="6" t="s">
        <v>239</v>
      </c>
      <c r="B427" s="13" t="s">
        <v>273</v>
      </c>
      <c r="C427" s="54" t="s">
        <v>515</v>
      </c>
      <c r="D427" s="238" t="s">
        <v>801</v>
      </c>
      <c r="E427" s="239"/>
      <c r="F427" s="63" t="s">
        <v>849</v>
      </c>
      <c r="G427" s="105">
        <v>1</v>
      </c>
      <c r="H427" s="105"/>
      <c r="I427" s="17">
        <f t="shared" si="152"/>
        <v>0</v>
      </c>
      <c r="J427" s="17">
        <f t="shared" si="153"/>
        <v>0</v>
      </c>
      <c r="K427" s="126">
        <f t="shared" si="154"/>
        <v>0</v>
      </c>
      <c r="L427" s="17">
        <v>0</v>
      </c>
      <c r="M427" s="17">
        <f t="shared" si="155"/>
        <v>0</v>
      </c>
      <c r="N427" s="5"/>
      <c r="Y427" s="26">
        <f t="shared" si="156"/>
        <v>0</v>
      </c>
      <c r="AA427" s="26">
        <f t="shared" si="157"/>
        <v>0</v>
      </c>
      <c r="AB427" s="26">
        <f t="shared" si="158"/>
        <v>0</v>
      </c>
      <c r="AC427" s="26">
        <f t="shared" si="159"/>
        <v>0</v>
      </c>
      <c r="AD427" s="26">
        <f t="shared" si="160"/>
        <v>0</v>
      </c>
      <c r="AE427" s="26">
        <f t="shared" si="161"/>
        <v>0</v>
      </c>
      <c r="AF427" s="26">
        <f t="shared" si="162"/>
        <v>0</v>
      </c>
      <c r="AG427" s="26">
        <f t="shared" si="163"/>
        <v>0</v>
      </c>
      <c r="AH427" s="24" t="s">
        <v>273</v>
      </c>
      <c r="AI427" s="17">
        <f t="shared" si="164"/>
        <v>0</v>
      </c>
      <c r="AJ427" s="17">
        <f t="shared" si="165"/>
        <v>0</v>
      </c>
      <c r="AK427" s="17">
        <f t="shared" si="166"/>
        <v>0</v>
      </c>
      <c r="AM427" s="26">
        <v>15</v>
      </c>
      <c r="AN427" s="26">
        <f t="shared" si="167"/>
        <v>0</v>
      </c>
      <c r="AO427" s="26">
        <f t="shared" si="168"/>
        <v>0</v>
      </c>
      <c r="AP427" s="28" t="s">
        <v>881</v>
      </c>
      <c r="AU427" s="26">
        <f t="shared" si="169"/>
        <v>0</v>
      </c>
      <c r="AV427" s="26">
        <f t="shared" si="170"/>
        <v>0</v>
      </c>
      <c r="AW427" s="26">
        <f t="shared" si="171"/>
        <v>0</v>
      </c>
      <c r="AX427" s="29" t="s">
        <v>914</v>
      </c>
      <c r="AY427" s="29" t="s">
        <v>931</v>
      </c>
      <c r="AZ427" s="24" t="s">
        <v>937</v>
      </c>
      <c r="BB427" s="26">
        <f t="shared" si="172"/>
        <v>0</v>
      </c>
      <c r="BC427" s="26">
        <f t="shared" si="173"/>
        <v>0</v>
      </c>
      <c r="BD427" s="26">
        <v>0</v>
      </c>
      <c r="BE427" s="26">
        <f t="shared" si="174"/>
        <v>0</v>
      </c>
      <c r="BG427" s="17">
        <f t="shared" si="175"/>
        <v>0</v>
      </c>
      <c r="BH427" s="17">
        <f t="shared" si="176"/>
        <v>0</v>
      </c>
      <c r="BI427" s="17">
        <f t="shared" si="177"/>
        <v>0</v>
      </c>
      <c r="BJ427" s="17" t="s">
        <v>946</v>
      </c>
      <c r="BK427" s="26"/>
    </row>
    <row r="428" spans="1:63" ht="12.75">
      <c r="A428" s="6" t="s">
        <v>240</v>
      </c>
      <c r="B428" s="13" t="s">
        <v>273</v>
      </c>
      <c r="C428" s="54" t="s">
        <v>516</v>
      </c>
      <c r="D428" s="238" t="s">
        <v>802</v>
      </c>
      <c r="E428" s="239"/>
      <c r="F428" s="63" t="s">
        <v>849</v>
      </c>
      <c r="G428" s="105">
        <v>1</v>
      </c>
      <c r="H428" s="105"/>
      <c r="I428" s="17">
        <f t="shared" si="152"/>
        <v>0</v>
      </c>
      <c r="J428" s="17">
        <f t="shared" si="153"/>
        <v>0</v>
      </c>
      <c r="K428" s="126">
        <f t="shared" si="154"/>
        <v>0</v>
      </c>
      <c r="L428" s="17">
        <v>0</v>
      </c>
      <c r="M428" s="17">
        <f t="shared" si="155"/>
        <v>0</v>
      </c>
      <c r="N428" s="5"/>
      <c r="Y428" s="26">
        <f t="shared" si="156"/>
        <v>0</v>
      </c>
      <c r="AA428" s="26">
        <f t="shared" si="157"/>
        <v>0</v>
      </c>
      <c r="AB428" s="26">
        <f t="shared" si="158"/>
        <v>0</v>
      </c>
      <c r="AC428" s="26">
        <f t="shared" si="159"/>
        <v>0</v>
      </c>
      <c r="AD428" s="26">
        <f t="shared" si="160"/>
        <v>0</v>
      </c>
      <c r="AE428" s="26">
        <f t="shared" si="161"/>
        <v>0</v>
      </c>
      <c r="AF428" s="26">
        <f t="shared" si="162"/>
        <v>0</v>
      </c>
      <c r="AG428" s="26">
        <f t="shared" si="163"/>
        <v>0</v>
      </c>
      <c r="AH428" s="24" t="s">
        <v>273</v>
      </c>
      <c r="AI428" s="17">
        <f t="shared" si="164"/>
        <v>0</v>
      </c>
      <c r="AJ428" s="17">
        <f t="shared" si="165"/>
        <v>0</v>
      </c>
      <c r="AK428" s="17">
        <f t="shared" si="166"/>
        <v>0</v>
      </c>
      <c r="AM428" s="26">
        <v>15</v>
      </c>
      <c r="AN428" s="26">
        <f t="shared" si="167"/>
        <v>0</v>
      </c>
      <c r="AO428" s="26">
        <f t="shared" si="168"/>
        <v>0</v>
      </c>
      <c r="AP428" s="28" t="s">
        <v>881</v>
      </c>
      <c r="AU428" s="26">
        <f t="shared" si="169"/>
        <v>0</v>
      </c>
      <c r="AV428" s="26">
        <f t="shared" si="170"/>
        <v>0</v>
      </c>
      <c r="AW428" s="26">
        <f t="shared" si="171"/>
        <v>0</v>
      </c>
      <c r="AX428" s="29" t="s">
        <v>914</v>
      </c>
      <c r="AY428" s="29" t="s">
        <v>931</v>
      </c>
      <c r="AZ428" s="24" t="s">
        <v>937</v>
      </c>
      <c r="BB428" s="26">
        <f t="shared" si="172"/>
        <v>0</v>
      </c>
      <c r="BC428" s="26">
        <f t="shared" si="173"/>
        <v>0</v>
      </c>
      <c r="BD428" s="26">
        <v>0</v>
      </c>
      <c r="BE428" s="26">
        <f t="shared" si="174"/>
        <v>0</v>
      </c>
      <c r="BG428" s="17">
        <f t="shared" si="175"/>
        <v>0</v>
      </c>
      <c r="BH428" s="17">
        <f t="shared" si="176"/>
        <v>0</v>
      </c>
      <c r="BI428" s="17">
        <f t="shared" si="177"/>
        <v>0</v>
      </c>
      <c r="BJ428" s="17" t="s">
        <v>946</v>
      </c>
      <c r="BK428" s="26"/>
    </row>
    <row r="429" spans="1:63" ht="12.75">
      <c r="A429" s="6" t="s">
        <v>241</v>
      </c>
      <c r="B429" s="13" t="s">
        <v>273</v>
      </c>
      <c r="C429" s="54" t="s">
        <v>517</v>
      </c>
      <c r="D429" s="238" t="s">
        <v>803</v>
      </c>
      <c r="E429" s="239"/>
      <c r="F429" s="63" t="s">
        <v>849</v>
      </c>
      <c r="G429" s="105">
        <v>1</v>
      </c>
      <c r="H429" s="105"/>
      <c r="I429" s="17">
        <f t="shared" si="152"/>
        <v>0</v>
      </c>
      <c r="J429" s="17">
        <f t="shared" si="153"/>
        <v>0</v>
      </c>
      <c r="K429" s="126">
        <f t="shared" si="154"/>
        <v>0</v>
      </c>
      <c r="L429" s="17">
        <v>0</v>
      </c>
      <c r="M429" s="17">
        <f t="shared" si="155"/>
        <v>0</v>
      </c>
      <c r="N429" s="5"/>
      <c r="Y429" s="26">
        <f t="shared" si="156"/>
        <v>0</v>
      </c>
      <c r="AA429" s="26">
        <f t="shared" si="157"/>
        <v>0</v>
      </c>
      <c r="AB429" s="26">
        <f t="shared" si="158"/>
        <v>0</v>
      </c>
      <c r="AC429" s="26">
        <f t="shared" si="159"/>
        <v>0</v>
      </c>
      <c r="AD429" s="26">
        <f t="shared" si="160"/>
        <v>0</v>
      </c>
      <c r="AE429" s="26">
        <f t="shared" si="161"/>
        <v>0</v>
      </c>
      <c r="AF429" s="26">
        <f t="shared" si="162"/>
        <v>0</v>
      </c>
      <c r="AG429" s="26">
        <f t="shared" si="163"/>
        <v>0</v>
      </c>
      <c r="AH429" s="24" t="s">
        <v>273</v>
      </c>
      <c r="AI429" s="17">
        <f t="shared" si="164"/>
        <v>0</v>
      </c>
      <c r="AJ429" s="17">
        <f t="shared" si="165"/>
        <v>0</v>
      </c>
      <c r="AK429" s="17">
        <f t="shared" si="166"/>
        <v>0</v>
      </c>
      <c r="AM429" s="26">
        <v>15</v>
      </c>
      <c r="AN429" s="26">
        <f t="shared" si="167"/>
        <v>0</v>
      </c>
      <c r="AO429" s="26">
        <f t="shared" si="168"/>
        <v>0</v>
      </c>
      <c r="AP429" s="28" t="s">
        <v>881</v>
      </c>
      <c r="AU429" s="26">
        <f t="shared" si="169"/>
        <v>0</v>
      </c>
      <c r="AV429" s="26">
        <f t="shared" si="170"/>
        <v>0</v>
      </c>
      <c r="AW429" s="26">
        <f t="shared" si="171"/>
        <v>0</v>
      </c>
      <c r="AX429" s="29" t="s">
        <v>914</v>
      </c>
      <c r="AY429" s="29" t="s">
        <v>931</v>
      </c>
      <c r="AZ429" s="24" t="s">
        <v>937</v>
      </c>
      <c r="BB429" s="26">
        <f t="shared" si="172"/>
        <v>0</v>
      </c>
      <c r="BC429" s="26">
        <f t="shared" si="173"/>
        <v>0</v>
      </c>
      <c r="BD429" s="26">
        <v>0</v>
      </c>
      <c r="BE429" s="26">
        <f t="shared" si="174"/>
        <v>0</v>
      </c>
      <c r="BG429" s="17">
        <f t="shared" si="175"/>
        <v>0</v>
      </c>
      <c r="BH429" s="17">
        <f t="shared" si="176"/>
        <v>0</v>
      </c>
      <c r="BI429" s="17">
        <f t="shared" si="177"/>
        <v>0</v>
      </c>
      <c r="BJ429" s="17" t="s">
        <v>946</v>
      </c>
      <c r="BK429" s="26"/>
    </row>
    <row r="430" spans="1:63" ht="12.75">
      <c r="A430" s="6" t="s">
        <v>242</v>
      </c>
      <c r="B430" s="13" t="s">
        <v>273</v>
      </c>
      <c r="C430" s="54" t="s">
        <v>518</v>
      </c>
      <c r="D430" s="238" t="s">
        <v>804</v>
      </c>
      <c r="E430" s="239"/>
      <c r="F430" s="63" t="s">
        <v>849</v>
      </c>
      <c r="G430" s="105">
        <v>1</v>
      </c>
      <c r="H430" s="105"/>
      <c r="I430" s="17">
        <f t="shared" si="152"/>
        <v>0</v>
      </c>
      <c r="J430" s="17">
        <f t="shared" si="153"/>
        <v>0</v>
      </c>
      <c r="K430" s="126">
        <f t="shared" si="154"/>
        <v>0</v>
      </c>
      <c r="L430" s="17">
        <v>0</v>
      </c>
      <c r="M430" s="17">
        <f t="shared" si="155"/>
        <v>0</v>
      </c>
      <c r="N430" s="5"/>
      <c r="Y430" s="26">
        <f t="shared" si="156"/>
        <v>0</v>
      </c>
      <c r="AA430" s="26">
        <f t="shared" si="157"/>
        <v>0</v>
      </c>
      <c r="AB430" s="26">
        <f t="shared" si="158"/>
        <v>0</v>
      </c>
      <c r="AC430" s="26">
        <f t="shared" si="159"/>
        <v>0</v>
      </c>
      <c r="AD430" s="26">
        <f t="shared" si="160"/>
        <v>0</v>
      </c>
      <c r="AE430" s="26">
        <f t="shared" si="161"/>
        <v>0</v>
      </c>
      <c r="AF430" s="26">
        <f t="shared" si="162"/>
        <v>0</v>
      </c>
      <c r="AG430" s="26">
        <f t="shared" si="163"/>
        <v>0</v>
      </c>
      <c r="AH430" s="24" t="s">
        <v>273</v>
      </c>
      <c r="AI430" s="17">
        <f t="shared" si="164"/>
        <v>0</v>
      </c>
      <c r="AJ430" s="17">
        <f t="shared" si="165"/>
        <v>0</v>
      </c>
      <c r="AK430" s="17">
        <f t="shared" si="166"/>
        <v>0</v>
      </c>
      <c r="AM430" s="26">
        <v>15</v>
      </c>
      <c r="AN430" s="26">
        <f t="shared" si="167"/>
        <v>0</v>
      </c>
      <c r="AO430" s="26">
        <f t="shared" si="168"/>
        <v>0</v>
      </c>
      <c r="AP430" s="28" t="s">
        <v>881</v>
      </c>
      <c r="AU430" s="26">
        <f t="shared" si="169"/>
        <v>0</v>
      </c>
      <c r="AV430" s="26">
        <f t="shared" si="170"/>
        <v>0</v>
      </c>
      <c r="AW430" s="26">
        <f t="shared" si="171"/>
        <v>0</v>
      </c>
      <c r="AX430" s="29" t="s">
        <v>914</v>
      </c>
      <c r="AY430" s="29" t="s">
        <v>931</v>
      </c>
      <c r="AZ430" s="24" t="s">
        <v>937</v>
      </c>
      <c r="BB430" s="26">
        <f t="shared" si="172"/>
        <v>0</v>
      </c>
      <c r="BC430" s="26">
        <f t="shared" si="173"/>
        <v>0</v>
      </c>
      <c r="BD430" s="26">
        <v>0</v>
      </c>
      <c r="BE430" s="26">
        <f t="shared" si="174"/>
        <v>0</v>
      </c>
      <c r="BG430" s="17">
        <f t="shared" si="175"/>
        <v>0</v>
      </c>
      <c r="BH430" s="17">
        <f t="shared" si="176"/>
        <v>0</v>
      </c>
      <c r="BI430" s="17">
        <f t="shared" si="177"/>
        <v>0</v>
      </c>
      <c r="BJ430" s="17" t="s">
        <v>946</v>
      </c>
      <c r="BK430" s="26"/>
    </row>
    <row r="431" spans="1:63" ht="12.75">
      <c r="A431" s="6" t="s">
        <v>243</v>
      </c>
      <c r="B431" s="13" t="s">
        <v>273</v>
      </c>
      <c r="C431" s="54" t="s">
        <v>519</v>
      </c>
      <c r="D431" s="238" t="s">
        <v>805</v>
      </c>
      <c r="E431" s="239"/>
      <c r="F431" s="63" t="s">
        <v>849</v>
      </c>
      <c r="G431" s="105">
        <v>1</v>
      </c>
      <c r="H431" s="105"/>
      <c r="I431" s="17">
        <f t="shared" si="152"/>
        <v>0</v>
      </c>
      <c r="J431" s="17">
        <f t="shared" si="153"/>
        <v>0</v>
      </c>
      <c r="K431" s="126">
        <f t="shared" si="154"/>
        <v>0</v>
      </c>
      <c r="L431" s="17">
        <v>0</v>
      </c>
      <c r="M431" s="17">
        <f t="shared" si="155"/>
        <v>0</v>
      </c>
      <c r="N431" s="5"/>
      <c r="Y431" s="26">
        <f t="shared" si="156"/>
        <v>0</v>
      </c>
      <c r="AA431" s="26">
        <f t="shared" si="157"/>
        <v>0</v>
      </c>
      <c r="AB431" s="26">
        <f t="shared" si="158"/>
        <v>0</v>
      </c>
      <c r="AC431" s="26">
        <f t="shared" si="159"/>
        <v>0</v>
      </c>
      <c r="AD431" s="26">
        <f t="shared" si="160"/>
        <v>0</v>
      </c>
      <c r="AE431" s="26">
        <f t="shared" si="161"/>
        <v>0</v>
      </c>
      <c r="AF431" s="26">
        <f t="shared" si="162"/>
        <v>0</v>
      </c>
      <c r="AG431" s="26">
        <f t="shared" si="163"/>
        <v>0</v>
      </c>
      <c r="AH431" s="24" t="s">
        <v>273</v>
      </c>
      <c r="AI431" s="17">
        <f t="shared" si="164"/>
        <v>0</v>
      </c>
      <c r="AJ431" s="17">
        <f t="shared" si="165"/>
        <v>0</v>
      </c>
      <c r="AK431" s="17">
        <f t="shared" si="166"/>
        <v>0</v>
      </c>
      <c r="AM431" s="26">
        <v>15</v>
      </c>
      <c r="AN431" s="26">
        <f t="shared" si="167"/>
        <v>0</v>
      </c>
      <c r="AO431" s="26">
        <f t="shared" si="168"/>
        <v>0</v>
      </c>
      <c r="AP431" s="28" t="s">
        <v>881</v>
      </c>
      <c r="AU431" s="26">
        <f t="shared" si="169"/>
        <v>0</v>
      </c>
      <c r="AV431" s="26">
        <f t="shared" si="170"/>
        <v>0</v>
      </c>
      <c r="AW431" s="26">
        <f t="shared" si="171"/>
        <v>0</v>
      </c>
      <c r="AX431" s="29" t="s">
        <v>914</v>
      </c>
      <c r="AY431" s="29" t="s">
        <v>931</v>
      </c>
      <c r="AZ431" s="24" t="s">
        <v>937</v>
      </c>
      <c r="BB431" s="26">
        <f t="shared" si="172"/>
        <v>0</v>
      </c>
      <c r="BC431" s="26">
        <f t="shared" si="173"/>
        <v>0</v>
      </c>
      <c r="BD431" s="26">
        <v>0</v>
      </c>
      <c r="BE431" s="26">
        <f t="shared" si="174"/>
        <v>0</v>
      </c>
      <c r="BG431" s="17">
        <f t="shared" si="175"/>
        <v>0</v>
      </c>
      <c r="BH431" s="17">
        <f t="shared" si="176"/>
        <v>0</v>
      </c>
      <c r="BI431" s="17">
        <f t="shared" si="177"/>
        <v>0</v>
      </c>
      <c r="BJ431" s="17" t="s">
        <v>946</v>
      </c>
      <c r="BK431" s="26"/>
    </row>
    <row r="432" spans="1:63" ht="12.75">
      <c r="A432" s="6" t="s">
        <v>244</v>
      </c>
      <c r="B432" s="13" t="s">
        <v>273</v>
      </c>
      <c r="C432" s="54" t="s">
        <v>520</v>
      </c>
      <c r="D432" s="238" t="s">
        <v>806</v>
      </c>
      <c r="E432" s="239"/>
      <c r="F432" s="63" t="s">
        <v>849</v>
      </c>
      <c r="G432" s="105">
        <v>1</v>
      </c>
      <c r="H432" s="105"/>
      <c r="I432" s="17">
        <f t="shared" si="152"/>
        <v>0</v>
      </c>
      <c r="J432" s="17">
        <f t="shared" si="153"/>
        <v>0</v>
      </c>
      <c r="K432" s="126">
        <f t="shared" si="154"/>
        <v>0</v>
      </c>
      <c r="L432" s="17">
        <v>0</v>
      </c>
      <c r="M432" s="17">
        <f t="shared" si="155"/>
        <v>0</v>
      </c>
      <c r="N432" s="5"/>
      <c r="Y432" s="26">
        <f t="shared" si="156"/>
        <v>0</v>
      </c>
      <c r="AA432" s="26">
        <f t="shared" si="157"/>
        <v>0</v>
      </c>
      <c r="AB432" s="26">
        <f t="shared" si="158"/>
        <v>0</v>
      </c>
      <c r="AC432" s="26">
        <f t="shared" si="159"/>
        <v>0</v>
      </c>
      <c r="AD432" s="26">
        <f t="shared" si="160"/>
        <v>0</v>
      </c>
      <c r="AE432" s="26">
        <f t="shared" si="161"/>
        <v>0</v>
      </c>
      <c r="AF432" s="26">
        <f t="shared" si="162"/>
        <v>0</v>
      </c>
      <c r="AG432" s="26">
        <f t="shared" si="163"/>
        <v>0</v>
      </c>
      <c r="AH432" s="24" t="s">
        <v>273</v>
      </c>
      <c r="AI432" s="17">
        <f t="shared" si="164"/>
        <v>0</v>
      </c>
      <c r="AJ432" s="17">
        <f t="shared" si="165"/>
        <v>0</v>
      </c>
      <c r="AK432" s="17">
        <f t="shared" si="166"/>
        <v>0</v>
      </c>
      <c r="AM432" s="26">
        <v>15</v>
      </c>
      <c r="AN432" s="26">
        <f t="shared" si="167"/>
        <v>0</v>
      </c>
      <c r="AO432" s="26">
        <f t="shared" si="168"/>
        <v>0</v>
      </c>
      <c r="AP432" s="28" t="s">
        <v>881</v>
      </c>
      <c r="AU432" s="26">
        <f t="shared" si="169"/>
        <v>0</v>
      </c>
      <c r="AV432" s="26">
        <f t="shared" si="170"/>
        <v>0</v>
      </c>
      <c r="AW432" s="26">
        <f t="shared" si="171"/>
        <v>0</v>
      </c>
      <c r="AX432" s="29" t="s">
        <v>914</v>
      </c>
      <c r="AY432" s="29" t="s">
        <v>931</v>
      </c>
      <c r="AZ432" s="24" t="s">
        <v>937</v>
      </c>
      <c r="BB432" s="26">
        <f t="shared" si="172"/>
        <v>0</v>
      </c>
      <c r="BC432" s="26">
        <f t="shared" si="173"/>
        <v>0</v>
      </c>
      <c r="BD432" s="26">
        <v>0</v>
      </c>
      <c r="BE432" s="26">
        <f t="shared" si="174"/>
        <v>0</v>
      </c>
      <c r="BG432" s="17">
        <f t="shared" si="175"/>
        <v>0</v>
      </c>
      <c r="BH432" s="17">
        <f t="shared" si="176"/>
        <v>0</v>
      </c>
      <c r="BI432" s="17">
        <f t="shared" si="177"/>
        <v>0</v>
      </c>
      <c r="BJ432" s="17" t="s">
        <v>946</v>
      </c>
      <c r="BK432" s="26"/>
    </row>
    <row r="433" spans="1:63" ht="12.75">
      <c r="A433" s="6" t="s">
        <v>245</v>
      </c>
      <c r="B433" s="13" t="s">
        <v>273</v>
      </c>
      <c r="C433" s="54" t="s">
        <v>521</v>
      </c>
      <c r="D433" s="238" t="s">
        <v>807</v>
      </c>
      <c r="E433" s="239"/>
      <c r="F433" s="63" t="s">
        <v>850</v>
      </c>
      <c r="G433" s="105">
        <v>1</v>
      </c>
      <c r="H433" s="105"/>
      <c r="I433" s="17">
        <f t="shared" si="152"/>
        <v>0</v>
      </c>
      <c r="J433" s="17">
        <f t="shared" si="153"/>
        <v>0</v>
      </c>
      <c r="K433" s="126">
        <f t="shared" si="154"/>
        <v>0</v>
      </c>
      <c r="L433" s="17">
        <v>0.0584</v>
      </c>
      <c r="M433" s="17">
        <f t="shared" si="155"/>
        <v>0.0584</v>
      </c>
      <c r="N433" s="5"/>
      <c r="Y433" s="26">
        <f t="shared" si="156"/>
        <v>0</v>
      </c>
      <c r="AA433" s="26">
        <f t="shared" si="157"/>
        <v>0</v>
      </c>
      <c r="AB433" s="26">
        <f t="shared" si="158"/>
        <v>0</v>
      </c>
      <c r="AC433" s="26">
        <f t="shared" si="159"/>
        <v>0</v>
      </c>
      <c r="AD433" s="26">
        <f t="shared" si="160"/>
        <v>0</v>
      </c>
      <c r="AE433" s="26">
        <f t="shared" si="161"/>
        <v>0</v>
      </c>
      <c r="AF433" s="26">
        <f t="shared" si="162"/>
        <v>0</v>
      </c>
      <c r="AG433" s="26">
        <f t="shared" si="163"/>
        <v>0</v>
      </c>
      <c r="AH433" s="24" t="s">
        <v>273</v>
      </c>
      <c r="AI433" s="17">
        <f t="shared" si="164"/>
        <v>0</v>
      </c>
      <c r="AJ433" s="17">
        <f t="shared" si="165"/>
        <v>0</v>
      </c>
      <c r="AK433" s="17">
        <f t="shared" si="166"/>
        <v>0</v>
      </c>
      <c r="AM433" s="26">
        <v>15</v>
      </c>
      <c r="AN433" s="26">
        <f t="shared" si="167"/>
        <v>0</v>
      </c>
      <c r="AO433" s="26">
        <f t="shared" si="168"/>
        <v>0</v>
      </c>
      <c r="AP433" s="28" t="s">
        <v>881</v>
      </c>
      <c r="AU433" s="26">
        <f t="shared" si="169"/>
        <v>0</v>
      </c>
      <c r="AV433" s="26">
        <f t="shared" si="170"/>
        <v>0</v>
      </c>
      <c r="AW433" s="26">
        <f t="shared" si="171"/>
        <v>0</v>
      </c>
      <c r="AX433" s="29" t="s">
        <v>914</v>
      </c>
      <c r="AY433" s="29" t="s">
        <v>931</v>
      </c>
      <c r="AZ433" s="24" t="s">
        <v>937</v>
      </c>
      <c r="BB433" s="26">
        <f t="shared" si="172"/>
        <v>0</v>
      </c>
      <c r="BC433" s="26">
        <f t="shared" si="173"/>
        <v>0</v>
      </c>
      <c r="BD433" s="26">
        <v>0</v>
      </c>
      <c r="BE433" s="26">
        <f t="shared" si="174"/>
        <v>0.0584</v>
      </c>
      <c r="BG433" s="17">
        <f t="shared" si="175"/>
        <v>0</v>
      </c>
      <c r="BH433" s="17">
        <f t="shared" si="176"/>
        <v>0</v>
      </c>
      <c r="BI433" s="17">
        <f t="shared" si="177"/>
        <v>0</v>
      </c>
      <c r="BJ433" s="17" t="s">
        <v>946</v>
      </c>
      <c r="BK433" s="26"/>
    </row>
    <row r="434" spans="1:63" ht="12.75">
      <c r="A434" s="6" t="s">
        <v>246</v>
      </c>
      <c r="B434" s="13" t="s">
        <v>273</v>
      </c>
      <c r="C434" s="54" t="s">
        <v>522</v>
      </c>
      <c r="D434" s="238" t="s">
        <v>808</v>
      </c>
      <c r="E434" s="239"/>
      <c r="F434" s="63" t="s">
        <v>850</v>
      </c>
      <c r="G434" s="105">
        <v>1</v>
      </c>
      <c r="H434" s="105"/>
      <c r="I434" s="17">
        <f t="shared" si="152"/>
        <v>0</v>
      </c>
      <c r="J434" s="17">
        <f t="shared" si="153"/>
        <v>0</v>
      </c>
      <c r="K434" s="126">
        <f t="shared" si="154"/>
        <v>0</v>
      </c>
      <c r="L434" s="17">
        <v>0.105</v>
      </c>
      <c r="M434" s="17">
        <f t="shared" si="155"/>
        <v>0.105</v>
      </c>
      <c r="N434" s="5"/>
      <c r="Y434" s="26">
        <f t="shared" si="156"/>
        <v>0</v>
      </c>
      <c r="AA434" s="26">
        <f t="shared" si="157"/>
        <v>0</v>
      </c>
      <c r="AB434" s="26">
        <f t="shared" si="158"/>
        <v>0</v>
      </c>
      <c r="AC434" s="26">
        <f t="shared" si="159"/>
        <v>0</v>
      </c>
      <c r="AD434" s="26">
        <f t="shared" si="160"/>
        <v>0</v>
      </c>
      <c r="AE434" s="26">
        <f t="shared" si="161"/>
        <v>0</v>
      </c>
      <c r="AF434" s="26">
        <f t="shared" si="162"/>
        <v>0</v>
      </c>
      <c r="AG434" s="26">
        <f t="shared" si="163"/>
        <v>0</v>
      </c>
      <c r="AH434" s="24" t="s">
        <v>273</v>
      </c>
      <c r="AI434" s="17">
        <f t="shared" si="164"/>
        <v>0</v>
      </c>
      <c r="AJ434" s="17">
        <f t="shared" si="165"/>
        <v>0</v>
      </c>
      <c r="AK434" s="17">
        <f t="shared" si="166"/>
        <v>0</v>
      </c>
      <c r="AM434" s="26">
        <v>15</v>
      </c>
      <c r="AN434" s="26">
        <f t="shared" si="167"/>
        <v>0</v>
      </c>
      <c r="AO434" s="26">
        <f t="shared" si="168"/>
        <v>0</v>
      </c>
      <c r="AP434" s="28" t="s">
        <v>881</v>
      </c>
      <c r="AU434" s="26">
        <f t="shared" si="169"/>
        <v>0</v>
      </c>
      <c r="AV434" s="26">
        <f t="shared" si="170"/>
        <v>0</v>
      </c>
      <c r="AW434" s="26">
        <f t="shared" si="171"/>
        <v>0</v>
      </c>
      <c r="AX434" s="29" t="s">
        <v>914</v>
      </c>
      <c r="AY434" s="29" t="s">
        <v>931</v>
      </c>
      <c r="AZ434" s="24" t="s">
        <v>937</v>
      </c>
      <c r="BB434" s="26">
        <f t="shared" si="172"/>
        <v>0</v>
      </c>
      <c r="BC434" s="26">
        <f t="shared" si="173"/>
        <v>0</v>
      </c>
      <c r="BD434" s="26">
        <v>0</v>
      </c>
      <c r="BE434" s="26">
        <f t="shared" si="174"/>
        <v>0.105</v>
      </c>
      <c r="BG434" s="17">
        <f t="shared" si="175"/>
        <v>0</v>
      </c>
      <c r="BH434" s="17">
        <f t="shared" si="176"/>
        <v>0</v>
      </c>
      <c r="BI434" s="17">
        <f t="shared" si="177"/>
        <v>0</v>
      </c>
      <c r="BJ434" s="17" t="s">
        <v>946</v>
      </c>
      <c r="BK434" s="26"/>
    </row>
    <row r="435" spans="1:63" ht="12.75">
      <c r="A435" s="6" t="s">
        <v>247</v>
      </c>
      <c r="B435" s="13" t="s">
        <v>273</v>
      </c>
      <c r="C435" s="54" t="s">
        <v>523</v>
      </c>
      <c r="D435" s="238" t="s">
        <v>809</v>
      </c>
      <c r="E435" s="239"/>
      <c r="F435" s="63" t="s">
        <v>850</v>
      </c>
      <c r="G435" s="105">
        <v>2</v>
      </c>
      <c r="H435" s="105"/>
      <c r="I435" s="17">
        <f t="shared" si="152"/>
        <v>0</v>
      </c>
      <c r="J435" s="17">
        <f t="shared" si="153"/>
        <v>0</v>
      </c>
      <c r="K435" s="126">
        <f t="shared" si="154"/>
        <v>0</v>
      </c>
      <c r="L435" s="17">
        <v>0.0584</v>
      </c>
      <c r="M435" s="17">
        <f t="shared" si="155"/>
        <v>0.1168</v>
      </c>
      <c r="N435" s="5"/>
      <c r="Y435" s="26">
        <f t="shared" si="156"/>
        <v>0</v>
      </c>
      <c r="AA435" s="26">
        <f t="shared" si="157"/>
        <v>0</v>
      </c>
      <c r="AB435" s="26">
        <f t="shared" si="158"/>
        <v>0</v>
      </c>
      <c r="AC435" s="26">
        <f t="shared" si="159"/>
        <v>0</v>
      </c>
      <c r="AD435" s="26">
        <f t="shared" si="160"/>
        <v>0</v>
      </c>
      <c r="AE435" s="26">
        <f t="shared" si="161"/>
        <v>0</v>
      </c>
      <c r="AF435" s="26">
        <f t="shared" si="162"/>
        <v>0</v>
      </c>
      <c r="AG435" s="26">
        <f t="shared" si="163"/>
        <v>0</v>
      </c>
      <c r="AH435" s="24" t="s">
        <v>273</v>
      </c>
      <c r="AI435" s="17">
        <f t="shared" si="164"/>
        <v>0</v>
      </c>
      <c r="AJ435" s="17">
        <f t="shared" si="165"/>
        <v>0</v>
      </c>
      <c r="AK435" s="17">
        <f t="shared" si="166"/>
        <v>0</v>
      </c>
      <c r="AM435" s="26">
        <v>15</v>
      </c>
      <c r="AN435" s="26">
        <f t="shared" si="167"/>
        <v>0</v>
      </c>
      <c r="AO435" s="26">
        <f t="shared" si="168"/>
        <v>0</v>
      </c>
      <c r="AP435" s="28" t="s">
        <v>881</v>
      </c>
      <c r="AU435" s="26">
        <f t="shared" si="169"/>
        <v>0</v>
      </c>
      <c r="AV435" s="26">
        <f t="shared" si="170"/>
        <v>0</v>
      </c>
      <c r="AW435" s="26">
        <f t="shared" si="171"/>
        <v>0</v>
      </c>
      <c r="AX435" s="29" t="s">
        <v>914</v>
      </c>
      <c r="AY435" s="29" t="s">
        <v>931</v>
      </c>
      <c r="AZ435" s="24" t="s">
        <v>937</v>
      </c>
      <c r="BB435" s="26">
        <f t="shared" si="172"/>
        <v>0</v>
      </c>
      <c r="BC435" s="26">
        <f t="shared" si="173"/>
        <v>0</v>
      </c>
      <c r="BD435" s="26">
        <v>0</v>
      </c>
      <c r="BE435" s="26">
        <f t="shared" si="174"/>
        <v>0.1168</v>
      </c>
      <c r="BG435" s="17">
        <f t="shared" si="175"/>
        <v>0</v>
      </c>
      <c r="BH435" s="17">
        <f t="shared" si="176"/>
        <v>0</v>
      </c>
      <c r="BI435" s="17">
        <f t="shared" si="177"/>
        <v>0</v>
      </c>
      <c r="BJ435" s="17" t="s">
        <v>946</v>
      </c>
      <c r="BK435" s="26"/>
    </row>
    <row r="436" spans="1:63" ht="12.75">
      <c r="A436" s="6" t="s">
        <v>248</v>
      </c>
      <c r="B436" s="13" t="s">
        <v>273</v>
      </c>
      <c r="C436" s="54" t="s">
        <v>524</v>
      </c>
      <c r="D436" s="238" t="s">
        <v>810</v>
      </c>
      <c r="E436" s="239"/>
      <c r="F436" s="63" t="s">
        <v>854</v>
      </c>
      <c r="G436" s="105">
        <v>1</v>
      </c>
      <c r="H436" s="105"/>
      <c r="I436" s="17">
        <f t="shared" si="152"/>
        <v>0</v>
      </c>
      <c r="J436" s="17">
        <f t="shared" si="153"/>
        <v>0</v>
      </c>
      <c r="K436" s="126">
        <f t="shared" si="154"/>
        <v>0</v>
      </c>
      <c r="L436" s="17">
        <v>0</v>
      </c>
      <c r="M436" s="17">
        <f t="shared" si="155"/>
        <v>0</v>
      </c>
      <c r="N436" s="5"/>
      <c r="Y436" s="26">
        <f t="shared" si="156"/>
        <v>0</v>
      </c>
      <c r="AA436" s="26">
        <f t="shared" si="157"/>
        <v>0</v>
      </c>
      <c r="AB436" s="26">
        <f t="shared" si="158"/>
        <v>0</v>
      </c>
      <c r="AC436" s="26">
        <f t="shared" si="159"/>
        <v>0</v>
      </c>
      <c r="AD436" s="26">
        <f t="shared" si="160"/>
        <v>0</v>
      </c>
      <c r="AE436" s="26">
        <f t="shared" si="161"/>
        <v>0</v>
      </c>
      <c r="AF436" s="26">
        <f t="shared" si="162"/>
        <v>0</v>
      </c>
      <c r="AG436" s="26">
        <f t="shared" si="163"/>
        <v>0</v>
      </c>
      <c r="AH436" s="24" t="s">
        <v>273</v>
      </c>
      <c r="AI436" s="17">
        <f t="shared" si="164"/>
        <v>0</v>
      </c>
      <c r="AJ436" s="17">
        <f t="shared" si="165"/>
        <v>0</v>
      </c>
      <c r="AK436" s="17">
        <f t="shared" si="166"/>
        <v>0</v>
      </c>
      <c r="AM436" s="26">
        <v>15</v>
      </c>
      <c r="AN436" s="26">
        <f t="shared" si="167"/>
        <v>0</v>
      </c>
      <c r="AO436" s="26">
        <f t="shared" si="168"/>
        <v>0</v>
      </c>
      <c r="AP436" s="28" t="s">
        <v>881</v>
      </c>
      <c r="AU436" s="26">
        <f t="shared" si="169"/>
        <v>0</v>
      </c>
      <c r="AV436" s="26">
        <f t="shared" si="170"/>
        <v>0</v>
      </c>
      <c r="AW436" s="26">
        <f t="shared" si="171"/>
        <v>0</v>
      </c>
      <c r="AX436" s="29" t="s">
        <v>914</v>
      </c>
      <c r="AY436" s="29" t="s">
        <v>931</v>
      </c>
      <c r="AZ436" s="24" t="s">
        <v>937</v>
      </c>
      <c r="BB436" s="26">
        <f t="shared" si="172"/>
        <v>0</v>
      </c>
      <c r="BC436" s="26">
        <f t="shared" si="173"/>
        <v>0</v>
      </c>
      <c r="BD436" s="26">
        <v>0</v>
      </c>
      <c r="BE436" s="26">
        <f t="shared" si="174"/>
        <v>0</v>
      </c>
      <c r="BG436" s="17">
        <f t="shared" si="175"/>
        <v>0</v>
      </c>
      <c r="BH436" s="17">
        <f t="shared" si="176"/>
        <v>0</v>
      </c>
      <c r="BI436" s="17">
        <f t="shared" si="177"/>
        <v>0</v>
      </c>
      <c r="BJ436" s="17" t="s">
        <v>946</v>
      </c>
      <c r="BK436" s="26"/>
    </row>
    <row r="437" spans="1:63" ht="12.75">
      <c r="A437" s="6" t="s">
        <v>249</v>
      </c>
      <c r="B437" s="13" t="s">
        <v>273</v>
      </c>
      <c r="C437" s="54" t="s">
        <v>525</v>
      </c>
      <c r="D437" s="238" t="s">
        <v>811</v>
      </c>
      <c r="E437" s="239"/>
      <c r="F437" s="63" t="s">
        <v>849</v>
      </c>
      <c r="G437" s="105">
        <v>1</v>
      </c>
      <c r="H437" s="105"/>
      <c r="I437" s="17">
        <f t="shared" si="152"/>
        <v>0</v>
      </c>
      <c r="J437" s="17">
        <f t="shared" si="153"/>
        <v>0</v>
      </c>
      <c r="K437" s="126">
        <f t="shared" si="154"/>
        <v>0</v>
      </c>
      <c r="L437" s="17">
        <v>0</v>
      </c>
      <c r="M437" s="17">
        <f t="shared" si="155"/>
        <v>0</v>
      </c>
      <c r="N437" s="5"/>
      <c r="Y437" s="26">
        <f t="shared" si="156"/>
        <v>0</v>
      </c>
      <c r="AA437" s="26">
        <f t="shared" si="157"/>
        <v>0</v>
      </c>
      <c r="AB437" s="26">
        <f t="shared" si="158"/>
        <v>0</v>
      </c>
      <c r="AC437" s="26">
        <f t="shared" si="159"/>
        <v>0</v>
      </c>
      <c r="AD437" s="26">
        <f t="shared" si="160"/>
        <v>0</v>
      </c>
      <c r="AE437" s="26">
        <f t="shared" si="161"/>
        <v>0</v>
      </c>
      <c r="AF437" s="26">
        <f t="shared" si="162"/>
        <v>0</v>
      </c>
      <c r="AG437" s="26">
        <f t="shared" si="163"/>
        <v>0</v>
      </c>
      <c r="AH437" s="24" t="s">
        <v>273</v>
      </c>
      <c r="AI437" s="17">
        <f t="shared" si="164"/>
        <v>0</v>
      </c>
      <c r="AJ437" s="17">
        <f t="shared" si="165"/>
        <v>0</v>
      </c>
      <c r="AK437" s="17">
        <f t="shared" si="166"/>
        <v>0</v>
      </c>
      <c r="AM437" s="26">
        <v>15</v>
      </c>
      <c r="AN437" s="26">
        <f t="shared" si="167"/>
        <v>0</v>
      </c>
      <c r="AO437" s="26">
        <f t="shared" si="168"/>
        <v>0</v>
      </c>
      <c r="AP437" s="28" t="s">
        <v>881</v>
      </c>
      <c r="AU437" s="26">
        <f t="shared" si="169"/>
        <v>0</v>
      </c>
      <c r="AV437" s="26">
        <f t="shared" si="170"/>
        <v>0</v>
      </c>
      <c r="AW437" s="26">
        <f t="shared" si="171"/>
        <v>0</v>
      </c>
      <c r="AX437" s="29" t="s">
        <v>914</v>
      </c>
      <c r="AY437" s="29" t="s">
        <v>931</v>
      </c>
      <c r="AZ437" s="24" t="s">
        <v>937</v>
      </c>
      <c r="BB437" s="26">
        <f t="shared" si="172"/>
        <v>0</v>
      </c>
      <c r="BC437" s="26">
        <f t="shared" si="173"/>
        <v>0</v>
      </c>
      <c r="BD437" s="26">
        <v>0</v>
      </c>
      <c r="BE437" s="26">
        <f t="shared" si="174"/>
        <v>0</v>
      </c>
      <c r="BG437" s="17">
        <f t="shared" si="175"/>
        <v>0</v>
      </c>
      <c r="BH437" s="17">
        <f t="shared" si="176"/>
        <v>0</v>
      </c>
      <c r="BI437" s="17">
        <f t="shared" si="177"/>
        <v>0</v>
      </c>
      <c r="BJ437" s="17" t="s">
        <v>946</v>
      </c>
      <c r="BK437" s="26"/>
    </row>
    <row r="438" spans="1:63" ht="12.75">
      <c r="A438" s="6" t="s">
        <v>250</v>
      </c>
      <c r="B438" s="13" t="s">
        <v>273</v>
      </c>
      <c r="C438" s="54" t="s">
        <v>526</v>
      </c>
      <c r="D438" s="238" t="s">
        <v>812</v>
      </c>
      <c r="E438" s="239"/>
      <c r="F438" s="63" t="s">
        <v>849</v>
      </c>
      <c r="G438" s="105">
        <v>1</v>
      </c>
      <c r="H438" s="105"/>
      <c r="I438" s="17">
        <f t="shared" si="152"/>
        <v>0</v>
      </c>
      <c r="J438" s="17">
        <f t="shared" si="153"/>
        <v>0</v>
      </c>
      <c r="K438" s="126">
        <f t="shared" si="154"/>
        <v>0</v>
      </c>
      <c r="L438" s="17">
        <v>0</v>
      </c>
      <c r="M438" s="17">
        <f t="shared" si="155"/>
        <v>0</v>
      </c>
      <c r="N438" s="5"/>
      <c r="Y438" s="26">
        <f t="shared" si="156"/>
        <v>0</v>
      </c>
      <c r="AA438" s="26">
        <f t="shared" si="157"/>
        <v>0</v>
      </c>
      <c r="AB438" s="26">
        <f t="shared" si="158"/>
        <v>0</v>
      </c>
      <c r="AC438" s="26">
        <f t="shared" si="159"/>
        <v>0</v>
      </c>
      <c r="AD438" s="26">
        <f t="shared" si="160"/>
        <v>0</v>
      </c>
      <c r="AE438" s="26">
        <f t="shared" si="161"/>
        <v>0</v>
      </c>
      <c r="AF438" s="26">
        <f t="shared" si="162"/>
        <v>0</v>
      </c>
      <c r="AG438" s="26">
        <f t="shared" si="163"/>
        <v>0</v>
      </c>
      <c r="AH438" s="24" t="s">
        <v>273</v>
      </c>
      <c r="AI438" s="17">
        <f t="shared" si="164"/>
        <v>0</v>
      </c>
      <c r="AJ438" s="17">
        <f t="shared" si="165"/>
        <v>0</v>
      </c>
      <c r="AK438" s="17">
        <f t="shared" si="166"/>
        <v>0</v>
      </c>
      <c r="AM438" s="26">
        <v>15</v>
      </c>
      <c r="AN438" s="26">
        <f t="shared" si="167"/>
        <v>0</v>
      </c>
      <c r="AO438" s="26">
        <f t="shared" si="168"/>
        <v>0</v>
      </c>
      <c r="AP438" s="28" t="s">
        <v>881</v>
      </c>
      <c r="AU438" s="26">
        <f t="shared" si="169"/>
        <v>0</v>
      </c>
      <c r="AV438" s="26">
        <f t="shared" si="170"/>
        <v>0</v>
      </c>
      <c r="AW438" s="26">
        <f t="shared" si="171"/>
        <v>0</v>
      </c>
      <c r="AX438" s="29" t="s">
        <v>914</v>
      </c>
      <c r="AY438" s="29" t="s">
        <v>931</v>
      </c>
      <c r="AZ438" s="24" t="s">
        <v>937</v>
      </c>
      <c r="BB438" s="26">
        <f t="shared" si="172"/>
        <v>0</v>
      </c>
      <c r="BC438" s="26">
        <f t="shared" si="173"/>
        <v>0</v>
      </c>
      <c r="BD438" s="26">
        <v>0</v>
      </c>
      <c r="BE438" s="26">
        <f t="shared" si="174"/>
        <v>0</v>
      </c>
      <c r="BG438" s="17">
        <f t="shared" si="175"/>
        <v>0</v>
      </c>
      <c r="BH438" s="17">
        <f t="shared" si="176"/>
        <v>0</v>
      </c>
      <c r="BI438" s="17">
        <f t="shared" si="177"/>
        <v>0</v>
      </c>
      <c r="BJ438" s="17" t="s">
        <v>946</v>
      </c>
      <c r="BK438" s="26"/>
    </row>
    <row r="439" spans="1:63" ht="12.75">
      <c r="A439" s="6" t="s">
        <v>251</v>
      </c>
      <c r="B439" s="13" t="s">
        <v>273</v>
      </c>
      <c r="C439" s="54" t="s">
        <v>527</v>
      </c>
      <c r="D439" s="238" t="s">
        <v>813</v>
      </c>
      <c r="E439" s="239"/>
      <c r="F439" s="63" t="s">
        <v>849</v>
      </c>
      <c r="G439" s="105">
        <v>1</v>
      </c>
      <c r="H439" s="105"/>
      <c r="I439" s="17">
        <f t="shared" si="152"/>
        <v>0</v>
      </c>
      <c r="J439" s="17">
        <f t="shared" si="153"/>
        <v>0</v>
      </c>
      <c r="K439" s="126">
        <f t="shared" si="154"/>
        <v>0</v>
      </c>
      <c r="L439" s="17">
        <v>0</v>
      </c>
      <c r="M439" s="17">
        <f t="shared" si="155"/>
        <v>0</v>
      </c>
      <c r="N439" s="5"/>
      <c r="Y439" s="26">
        <f t="shared" si="156"/>
        <v>0</v>
      </c>
      <c r="AA439" s="26">
        <f t="shared" si="157"/>
        <v>0</v>
      </c>
      <c r="AB439" s="26">
        <f t="shared" si="158"/>
        <v>0</v>
      </c>
      <c r="AC439" s="26">
        <f t="shared" si="159"/>
        <v>0</v>
      </c>
      <c r="AD439" s="26">
        <f t="shared" si="160"/>
        <v>0</v>
      </c>
      <c r="AE439" s="26">
        <f t="shared" si="161"/>
        <v>0</v>
      </c>
      <c r="AF439" s="26">
        <f t="shared" si="162"/>
        <v>0</v>
      </c>
      <c r="AG439" s="26">
        <f t="shared" si="163"/>
        <v>0</v>
      </c>
      <c r="AH439" s="24" t="s">
        <v>273</v>
      </c>
      <c r="AI439" s="17">
        <f t="shared" si="164"/>
        <v>0</v>
      </c>
      <c r="AJ439" s="17">
        <f t="shared" si="165"/>
        <v>0</v>
      </c>
      <c r="AK439" s="17">
        <f t="shared" si="166"/>
        <v>0</v>
      </c>
      <c r="AM439" s="26">
        <v>15</v>
      </c>
      <c r="AN439" s="26">
        <f t="shared" si="167"/>
        <v>0</v>
      </c>
      <c r="AO439" s="26">
        <f t="shared" si="168"/>
        <v>0</v>
      </c>
      <c r="AP439" s="28" t="s">
        <v>881</v>
      </c>
      <c r="AU439" s="26">
        <f t="shared" si="169"/>
        <v>0</v>
      </c>
      <c r="AV439" s="26">
        <f t="shared" si="170"/>
        <v>0</v>
      </c>
      <c r="AW439" s="26">
        <f t="shared" si="171"/>
        <v>0</v>
      </c>
      <c r="AX439" s="29" t="s">
        <v>914</v>
      </c>
      <c r="AY439" s="29" t="s">
        <v>931</v>
      </c>
      <c r="AZ439" s="24" t="s">
        <v>937</v>
      </c>
      <c r="BB439" s="26">
        <f t="shared" si="172"/>
        <v>0</v>
      </c>
      <c r="BC439" s="26">
        <f t="shared" si="173"/>
        <v>0</v>
      </c>
      <c r="BD439" s="26">
        <v>0</v>
      </c>
      <c r="BE439" s="26">
        <f t="shared" si="174"/>
        <v>0</v>
      </c>
      <c r="BG439" s="17">
        <f t="shared" si="175"/>
        <v>0</v>
      </c>
      <c r="BH439" s="17">
        <f t="shared" si="176"/>
        <v>0</v>
      </c>
      <c r="BI439" s="17">
        <f t="shared" si="177"/>
        <v>0</v>
      </c>
      <c r="BJ439" s="17" t="s">
        <v>946</v>
      </c>
      <c r="BK439" s="26"/>
    </row>
    <row r="440" spans="1:63" ht="12.75">
      <c r="A440" s="6"/>
      <c r="B440" s="13"/>
      <c r="C440" s="59" t="s">
        <v>991</v>
      </c>
      <c r="D440" s="232" t="s">
        <v>1112</v>
      </c>
      <c r="E440" s="233"/>
      <c r="F440" s="233"/>
      <c r="G440" s="233"/>
      <c r="H440" s="233"/>
      <c r="I440" s="233"/>
      <c r="J440" s="233"/>
      <c r="K440" s="233"/>
      <c r="L440" s="233"/>
      <c r="M440" s="233"/>
      <c r="N440" s="5"/>
      <c r="Y440" s="26"/>
      <c r="AA440" s="26"/>
      <c r="AB440" s="26"/>
      <c r="AC440" s="26"/>
      <c r="AD440" s="26"/>
      <c r="AE440" s="26"/>
      <c r="AF440" s="26"/>
      <c r="AG440" s="26"/>
      <c r="AH440" s="24"/>
      <c r="AI440" s="17"/>
      <c r="AJ440" s="17"/>
      <c r="AK440" s="17"/>
      <c r="AM440" s="26"/>
      <c r="AN440" s="26"/>
      <c r="AO440" s="26"/>
      <c r="AP440" s="28"/>
      <c r="AU440" s="26"/>
      <c r="AV440" s="26"/>
      <c r="AW440" s="26"/>
      <c r="AX440" s="29"/>
      <c r="AY440" s="29"/>
      <c r="AZ440" s="24"/>
      <c r="BB440" s="26"/>
      <c r="BC440" s="26"/>
      <c r="BD440" s="26"/>
      <c r="BE440" s="26"/>
      <c r="BG440" s="17"/>
      <c r="BH440" s="17"/>
      <c r="BI440" s="17"/>
      <c r="BJ440" s="17"/>
      <c r="BK440" s="26"/>
    </row>
    <row r="441" spans="1:63" ht="12.75">
      <c r="A441" s="6" t="s">
        <v>252</v>
      </c>
      <c r="B441" s="13" t="s">
        <v>273</v>
      </c>
      <c r="C441" s="54" t="s">
        <v>528</v>
      </c>
      <c r="D441" s="238" t="s">
        <v>814</v>
      </c>
      <c r="E441" s="239"/>
      <c r="F441" s="63" t="s">
        <v>847</v>
      </c>
      <c r="G441" s="105">
        <v>18.44535</v>
      </c>
      <c r="H441" s="105"/>
      <c r="I441" s="17">
        <f>G441*AN441</f>
        <v>0</v>
      </c>
      <c r="J441" s="17">
        <f>G441*AO441</f>
        <v>0</v>
      </c>
      <c r="K441" s="126">
        <f t="shared" si="154"/>
        <v>0</v>
      </c>
      <c r="L441" s="17">
        <v>0.0126</v>
      </c>
      <c r="M441" s="17">
        <f t="shared" si="155"/>
        <v>0.23241141</v>
      </c>
      <c r="N441" s="5"/>
      <c r="Y441" s="26">
        <f t="shared" si="156"/>
        <v>0</v>
      </c>
      <c r="AA441" s="26">
        <f t="shared" si="157"/>
        <v>0</v>
      </c>
      <c r="AB441" s="26">
        <f t="shared" si="158"/>
        <v>0</v>
      </c>
      <c r="AC441" s="26">
        <f t="shared" si="159"/>
        <v>0</v>
      </c>
      <c r="AD441" s="26">
        <f t="shared" si="160"/>
        <v>0</v>
      </c>
      <c r="AE441" s="26">
        <f t="shared" si="161"/>
        <v>0</v>
      </c>
      <c r="AF441" s="26">
        <f t="shared" si="162"/>
        <v>0</v>
      </c>
      <c r="AG441" s="26">
        <f t="shared" si="163"/>
        <v>0</v>
      </c>
      <c r="AH441" s="24" t="s">
        <v>273</v>
      </c>
      <c r="AI441" s="17">
        <f>IF(AM441=0,K441,0)</f>
        <v>0</v>
      </c>
      <c r="AJ441" s="17">
        <f>IF(AM441=15,K441,0)</f>
        <v>0</v>
      </c>
      <c r="AK441" s="17">
        <f>IF(AM441=21,K441,0)</f>
        <v>0</v>
      </c>
      <c r="AM441" s="26">
        <v>15</v>
      </c>
      <c r="AN441" s="26">
        <f>H441*1</f>
        <v>0</v>
      </c>
      <c r="AO441" s="26">
        <f>H441*(1-1)</f>
        <v>0</v>
      </c>
      <c r="AP441" s="28" t="s">
        <v>881</v>
      </c>
      <c r="AU441" s="26">
        <f t="shared" si="169"/>
        <v>0</v>
      </c>
      <c r="AV441" s="26">
        <f>G441*AN441</f>
        <v>0</v>
      </c>
      <c r="AW441" s="26">
        <f>G441*AO441</f>
        <v>0</v>
      </c>
      <c r="AX441" s="29" t="s">
        <v>914</v>
      </c>
      <c r="AY441" s="29" t="s">
        <v>931</v>
      </c>
      <c r="AZ441" s="24" t="s">
        <v>937</v>
      </c>
      <c r="BB441" s="26">
        <f t="shared" si="172"/>
        <v>0</v>
      </c>
      <c r="BC441" s="26">
        <f>H441/(100-BD441)*100</f>
        <v>0</v>
      </c>
      <c r="BD441" s="26">
        <v>0</v>
      </c>
      <c r="BE441" s="26">
        <f t="shared" si="174"/>
        <v>0.23241141</v>
      </c>
      <c r="BG441" s="17">
        <f>G441*AN441</f>
        <v>0</v>
      </c>
      <c r="BH441" s="17">
        <f>G441*AO441</f>
        <v>0</v>
      </c>
      <c r="BI441" s="17">
        <f t="shared" si="177"/>
        <v>0</v>
      </c>
      <c r="BJ441" s="17" t="s">
        <v>946</v>
      </c>
      <c r="BK441" s="26"/>
    </row>
    <row r="442" spans="1:14" s="58" customFormat="1" ht="12.75">
      <c r="A442" s="57"/>
      <c r="C442" s="59" t="s">
        <v>991</v>
      </c>
      <c r="D442" s="232" t="s">
        <v>1113</v>
      </c>
      <c r="E442" s="233"/>
      <c r="F442" s="233"/>
      <c r="G442" s="233"/>
      <c r="H442" s="233"/>
      <c r="I442" s="233"/>
      <c r="J442" s="233"/>
      <c r="K442" s="233"/>
      <c r="L442" s="233"/>
      <c r="M442" s="233"/>
      <c r="N442" s="57"/>
    </row>
    <row r="443" spans="1:63" ht="12.75">
      <c r="A443" s="6" t="s">
        <v>253</v>
      </c>
      <c r="B443" s="13" t="s">
        <v>273</v>
      </c>
      <c r="C443" s="54" t="s">
        <v>529</v>
      </c>
      <c r="D443" s="238" t="s">
        <v>815</v>
      </c>
      <c r="E443" s="239"/>
      <c r="F443" s="63" t="s">
        <v>846</v>
      </c>
      <c r="G443" s="105">
        <v>5.544</v>
      </c>
      <c r="H443" s="105"/>
      <c r="I443" s="17">
        <f>G443*AN443</f>
        <v>0</v>
      </c>
      <c r="J443" s="17">
        <f>G443*AO443</f>
        <v>0</v>
      </c>
      <c r="K443" s="126">
        <f>G443*H443</f>
        <v>0</v>
      </c>
      <c r="L443" s="17">
        <v>0.00455</v>
      </c>
      <c r="M443" s="17">
        <f>G443*L443</f>
        <v>0.0252252</v>
      </c>
      <c r="N443" s="5"/>
      <c r="Y443" s="26">
        <f>IF(AP443="5",BI443,0)</f>
        <v>0</v>
      </c>
      <c r="AA443" s="26">
        <f>IF(AP443="1",BG443,0)</f>
        <v>0</v>
      </c>
      <c r="AB443" s="26">
        <f>IF(AP443="1",BH443,0)</f>
        <v>0</v>
      </c>
      <c r="AC443" s="26">
        <f>IF(AP443="7",BG443,0)</f>
        <v>0</v>
      </c>
      <c r="AD443" s="26">
        <f>IF(AP443="7",BH443,0)</f>
        <v>0</v>
      </c>
      <c r="AE443" s="26">
        <f>IF(AP443="2",BG443,0)</f>
        <v>0</v>
      </c>
      <c r="AF443" s="26">
        <f>IF(AP443="2",BH443,0)</f>
        <v>0</v>
      </c>
      <c r="AG443" s="26">
        <f>IF(AP443="0",BI443,0)</f>
        <v>0</v>
      </c>
      <c r="AH443" s="24" t="s">
        <v>273</v>
      </c>
      <c r="AI443" s="17">
        <f>IF(AM443=0,K443,0)</f>
        <v>0</v>
      </c>
      <c r="AJ443" s="17">
        <f>IF(AM443=15,K443,0)</f>
        <v>0</v>
      </c>
      <c r="AK443" s="17">
        <f>IF(AM443=21,K443,0)</f>
        <v>0</v>
      </c>
      <c r="AM443" s="26">
        <v>15</v>
      </c>
      <c r="AN443" s="26">
        <f>H443*1</f>
        <v>0</v>
      </c>
      <c r="AO443" s="26">
        <f>H443*(1-1)</f>
        <v>0</v>
      </c>
      <c r="AP443" s="28" t="s">
        <v>881</v>
      </c>
      <c r="AU443" s="26">
        <f>AV443+AW443</f>
        <v>0</v>
      </c>
      <c r="AV443" s="26">
        <f>G443*AN443</f>
        <v>0</v>
      </c>
      <c r="AW443" s="26">
        <f>G443*AO443</f>
        <v>0</v>
      </c>
      <c r="AX443" s="29" t="s">
        <v>914</v>
      </c>
      <c r="AY443" s="29" t="s">
        <v>931</v>
      </c>
      <c r="AZ443" s="24" t="s">
        <v>937</v>
      </c>
      <c r="BB443" s="26">
        <f>AV443+AW443</f>
        <v>0</v>
      </c>
      <c r="BC443" s="26">
        <f>H443/(100-BD443)*100</f>
        <v>0</v>
      </c>
      <c r="BD443" s="26">
        <v>0</v>
      </c>
      <c r="BE443" s="26">
        <f>M443</f>
        <v>0.0252252</v>
      </c>
      <c r="BG443" s="17">
        <f>G443*AN443</f>
        <v>0</v>
      </c>
      <c r="BH443" s="17">
        <f>G443*AO443</f>
        <v>0</v>
      </c>
      <c r="BI443" s="17">
        <f>G443*H443</f>
        <v>0</v>
      </c>
      <c r="BJ443" s="17" t="s">
        <v>946</v>
      </c>
      <c r="BK443" s="26"/>
    </row>
    <row r="444" spans="1:63" ht="12.75">
      <c r="A444" s="6" t="s">
        <v>254</v>
      </c>
      <c r="B444" s="13" t="s">
        <v>273</v>
      </c>
      <c r="C444" s="54" t="s">
        <v>530</v>
      </c>
      <c r="D444" s="238" t="s">
        <v>816</v>
      </c>
      <c r="E444" s="239"/>
      <c r="F444" s="63" t="s">
        <v>846</v>
      </c>
      <c r="G444" s="105">
        <v>9.996</v>
      </c>
      <c r="H444" s="105"/>
      <c r="I444" s="17">
        <f>G444*AN444</f>
        <v>0</v>
      </c>
      <c r="J444" s="17">
        <f>G444*AO444</f>
        <v>0</v>
      </c>
      <c r="K444" s="126">
        <f>G444*H444</f>
        <v>0</v>
      </c>
      <c r="L444" s="17">
        <v>0.00625</v>
      </c>
      <c r="M444" s="17">
        <f>G444*L444</f>
        <v>0.062475</v>
      </c>
      <c r="N444" s="5"/>
      <c r="Y444" s="26">
        <f>IF(AP444="5",BI444,0)</f>
        <v>0</v>
      </c>
      <c r="AA444" s="26">
        <f>IF(AP444="1",BG444,0)</f>
        <v>0</v>
      </c>
      <c r="AB444" s="26">
        <f>IF(AP444="1",BH444,0)</f>
        <v>0</v>
      </c>
      <c r="AC444" s="26">
        <f>IF(AP444="7",BG444,0)</f>
        <v>0</v>
      </c>
      <c r="AD444" s="26">
        <f>IF(AP444="7",BH444,0)</f>
        <v>0</v>
      </c>
      <c r="AE444" s="26">
        <f>IF(AP444="2",BG444,0)</f>
        <v>0</v>
      </c>
      <c r="AF444" s="26">
        <f>IF(AP444="2",BH444,0)</f>
        <v>0</v>
      </c>
      <c r="AG444" s="26">
        <f>IF(AP444="0",BI444,0)</f>
        <v>0</v>
      </c>
      <c r="AH444" s="24" t="s">
        <v>273</v>
      </c>
      <c r="AI444" s="17">
        <f>IF(AM444=0,K444,0)</f>
        <v>0</v>
      </c>
      <c r="AJ444" s="17">
        <f>IF(AM444=15,K444,0)</f>
        <v>0</v>
      </c>
      <c r="AK444" s="17">
        <f>IF(AM444=21,K444,0)</f>
        <v>0</v>
      </c>
      <c r="AM444" s="26">
        <v>15</v>
      </c>
      <c r="AN444" s="26">
        <f>H444*1</f>
        <v>0</v>
      </c>
      <c r="AO444" s="26">
        <f>H444*(1-1)</f>
        <v>0</v>
      </c>
      <c r="AP444" s="28" t="s">
        <v>881</v>
      </c>
      <c r="AU444" s="26">
        <f>AV444+AW444</f>
        <v>0</v>
      </c>
      <c r="AV444" s="26">
        <f>G444*AN444</f>
        <v>0</v>
      </c>
      <c r="AW444" s="26">
        <f>G444*AO444</f>
        <v>0</v>
      </c>
      <c r="AX444" s="29" t="s">
        <v>914</v>
      </c>
      <c r="AY444" s="29" t="s">
        <v>931</v>
      </c>
      <c r="AZ444" s="24" t="s">
        <v>937</v>
      </c>
      <c r="BB444" s="26">
        <f>AV444+AW444</f>
        <v>0</v>
      </c>
      <c r="BC444" s="26">
        <f>H444/(100-BD444)*100</f>
        <v>0</v>
      </c>
      <c r="BD444" s="26">
        <v>0</v>
      </c>
      <c r="BE444" s="26">
        <f>M444</f>
        <v>0.062475</v>
      </c>
      <c r="BG444" s="17">
        <f>G444*AN444</f>
        <v>0</v>
      </c>
      <c r="BH444" s="17">
        <f>G444*AO444</f>
        <v>0</v>
      </c>
      <c r="BI444" s="17">
        <f>G444*H444</f>
        <v>0</v>
      </c>
      <c r="BJ444" s="17" t="s">
        <v>946</v>
      </c>
      <c r="BK444" s="26"/>
    </row>
    <row r="445" spans="1:63" ht="12.75">
      <c r="A445" s="6" t="s">
        <v>255</v>
      </c>
      <c r="B445" s="13" t="s">
        <v>273</v>
      </c>
      <c r="C445" s="54" t="s">
        <v>531</v>
      </c>
      <c r="D445" s="238" t="s">
        <v>817</v>
      </c>
      <c r="E445" s="239"/>
      <c r="F445" s="63" t="s">
        <v>846</v>
      </c>
      <c r="G445" s="105">
        <v>6.111</v>
      </c>
      <c r="H445" s="105"/>
      <c r="I445" s="17">
        <f>G445*AN445</f>
        <v>0</v>
      </c>
      <c r="J445" s="17">
        <f>G445*AO445</f>
        <v>0</v>
      </c>
      <c r="K445" s="126">
        <f>G445*H445</f>
        <v>0</v>
      </c>
      <c r="L445" s="17">
        <v>0.00625</v>
      </c>
      <c r="M445" s="17">
        <f>G445*L445</f>
        <v>0.03819375</v>
      </c>
      <c r="N445" s="5"/>
      <c r="Y445" s="26">
        <f>IF(AP445="5",BI445,0)</f>
        <v>0</v>
      </c>
      <c r="AA445" s="26">
        <f>IF(AP445="1",BG445,0)</f>
        <v>0</v>
      </c>
      <c r="AB445" s="26">
        <f>IF(AP445="1",BH445,0)</f>
        <v>0</v>
      </c>
      <c r="AC445" s="26">
        <f>IF(AP445="7",BG445,0)</f>
        <v>0</v>
      </c>
      <c r="AD445" s="26">
        <f>IF(AP445="7",BH445,0)</f>
        <v>0</v>
      </c>
      <c r="AE445" s="26">
        <f>IF(AP445="2",BG445,0)</f>
        <v>0</v>
      </c>
      <c r="AF445" s="26">
        <f>IF(AP445="2",BH445,0)</f>
        <v>0</v>
      </c>
      <c r="AG445" s="26">
        <f>IF(AP445="0",BI445,0)</f>
        <v>0</v>
      </c>
      <c r="AH445" s="24" t="s">
        <v>273</v>
      </c>
      <c r="AI445" s="17">
        <f>IF(AM445=0,K445,0)</f>
        <v>0</v>
      </c>
      <c r="AJ445" s="17">
        <f>IF(AM445=15,K445,0)</f>
        <v>0</v>
      </c>
      <c r="AK445" s="17">
        <f>IF(AM445=21,K445,0)</f>
        <v>0</v>
      </c>
      <c r="AM445" s="26">
        <v>15</v>
      </c>
      <c r="AN445" s="26">
        <f>H445*1</f>
        <v>0</v>
      </c>
      <c r="AO445" s="26">
        <f>H445*(1-1)</f>
        <v>0</v>
      </c>
      <c r="AP445" s="28" t="s">
        <v>881</v>
      </c>
      <c r="AU445" s="26">
        <f>AV445+AW445</f>
        <v>0</v>
      </c>
      <c r="AV445" s="26">
        <f>G445*AN445</f>
        <v>0</v>
      </c>
      <c r="AW445" s="26">
        <f>G445*AO445</f>
        <v>0</v>
      </c>
      <c r="AX445" s="29" t="s">
        <v>914</v>
      </c>
      <c r="AY445" s="29" t="s">
        <v>931</v>
      </c>
      <c r="AZ445" s="24" t="s">
        <v>937</v>
      </c>
      <c r="BB445" s="26">
        <f>AV445+AW445</f>
        <v>0</v>
      </c>
      <c r="BC445" s="26">
        <f>H445/(100-BD445)*100</f>
        <v>0</v>
      </c>
      <c r="BD445" s="26">
        <v>0</v>
      </c>
      <c r="BE445" s="26">
        <f>M445</f>
        <v>0.03819375</v>
      </c>
      <c r="BG445" s="17">
        <f>G445*AN445</f>
        <v>0</v>
      </c>
      <c r="BH445" s="17">
        <f>G445*AO445</f>
        <v>0</v>
      </c>
      <c r="BI445" s="17">
        <f>G445*H445</f>
        <v>0</v>
      </c>
      <c r="BJ445" s="17" t="s">
        <v>946</v>
      </c>
      <c r="BK445" s="26"/>
    </row>
    <row r="446" spans="1:63" s="94" customFormat="1" ht="12.75">
      <c r="A446" s="6" t="s">
        <v>256</v>
      </c>
      <c r="B446" s="13" t="s">
        <v>273</v>
      </c>
      <c r="C446" s="54" t="s">
        <v>532</v>
      </c>
      <c r="D446" s="238" t="s">
        <v>818</v>
      </c>
      <c r="E446" s="239"/>
      <c r="F446" s="63" t="s">
        <v>850</v>
      </c>
      <c r="G446" s="105">
        <v>28.13784</v>
      </c>
      <c r="H446" s="105"/>
      <c r="I446" s="17">
        <f>G446*AN446</f>
        <v>0</v>
      </c>
      <c r="J446" s="17">
        <f>G446*AO446</f>
        <v>0</v>
      </c>
      <c r="K446" s="126">
        <f>G446*H446</f>
        <v>0</v>
      </c>
      <c r="L446" s="17">
        <v>0.005</v>
      </c>
      <c r="M446" s="17">
        <f>G446*L446</f>
        <v>0.14068920000000001</v>
      </c>
      <c r="N446" s="5"/>
      <c r="Y446" s="26">
        <f>IF(AP446="5",BI446,0)</f>
        <v>0</v>
      </c>
      <c r="AA446" s="26">
        <f>IF(AP446="1",BG446,0)</f>
        <v>0</v>
      </c>
      <c r="AB446" s="26">
        <f>IF(AP446="1",BH446,0)</f>
        <v>0</v>
      </c>
      <c r="AC446" s="26">
        <f>IF(AP446="7",BG446,0)</f>
        <v>0</v>
      </c>
      <c r="AD446" s="26">
        <f>IF(AP446="7",BH446,0)</f>
        <v>0</v>
      </c>
      <c r="AE446" s="26">
        <f>IF(AP446="2",BG446,0)</f>
        <v>0</v>
      </c>
      <c r="AF446" s="26">
        <f>IF(AP446="2",BH446,0)</f>
        <v>0</v>
      </c>
      <c r="AG446" s="26">
        <f>IF(AP446="0",BI446,0)</f>
        <v>0</v>
      </c>
      <c r="AH446" s="95" t="s">
        <v>273</v>
      </c>
      <c r="AI446" s="17">
        <f>IF(AM446=0,K446,0)</f>
        <v>0</v>
      </c>
      <c r="AJ446" s="17">
        <f>IF(AM446=15,K446,0)</f>
        <v>0</v>
      </c>
      <c r="AK446" s="17">
        <f>IF(AM446=21,K446,0)</f>
        <v>0</v>
      </c>
      <c r="AM446" s="26">
        <v>15</v>
      </c>
      <c r="AN446" s="26">
        <f>H446*1</f>
        <v>0</v>
      </c>
      <c r="AO446" s="26">
        <f>H446*(1-1)</f>
        <v>0</v>
      </c>
      <c r="AP446" s="28" t="s">
        <v>881</v>
      </c>
      <c r="AU446" s="26">
        <f>AV446+AW446</f>
        <v>0</v>
      </c>
      <c r="AV446" s="26">
        <f>G446*AN446</f>
        <v>0</v>
      </c>
      <c r="AW446" s="26">
        <f>G446*AO446</f>
        <v>0</v>
      </c>
      <c r="AX446" s="29" t="s">
        <v>914</v>
      </c>
      <c r="AY446" s="29" t="s">
        <v>931</v>
      </c>
      <c r="AZ446" s="95" t="s">
        <v>937</v>
      </c>
      <c r="BB446" s="26">
        <f>AV446+AW446</f>
        <v>0</v>
      </c>
      <c r="BC446" s="26">
        <f>H446/(100-BD446)*100</f>
        <v>0</v>
      </c>
      <c r="BD446" s="26">
        <v>0</v>
      </c>
      <c r="BE446" s="26">
        <f>M446</f>
        <v>0.14068920000000001</v>
      </c>
      <c r="BG446" s="17">
        <f>G446*AN446</f>
        <v>0</v>
      </c>
      <c r="BH446" s="17">
        <f>G446*AO446</f>
        <v>0</v>
      </c>
      <c r="BI446" s="17">
        <f>G446*H446</f>
        <v>0</v>
      </c>
      <c r="BJ446" s="17" t="s">
        <v>946</v>
      </c>
      <c r="BK446" s="26"/>
    </row>
    <row r="447" spans="1:63" s="94" customFormat="1" ht="12.75">
      <c r="A447" s="6" t="s">
        <v>257</v>
      </c>
      <c r="B447" s="13" t="s">
        <v>273</v>
      </c>
      <c r="C447" s="54" t="s">
        <v>533</v>
      </c>
      <c r="D447" s="238" t="s">
        <v>819</v>
      </c>
      <c r="E447" s="239"/>
      <c r="F447" s="63" t="s">
        <v>849</v>
      </c>
      <c r="G447" s="105">
        <v>24</v>
      </c>
      <c r="H447" s="105"/>
      <c r="I447" s="17">
        <f>G447*AN447</f>
        <v>0</v>
      </c>
      <c r="J447" s="17">
        <f>G447*AO447</f>
        <v>0</v>
      </c>
      <c r="K447" s="126">
        <f>G447*H447</f>
        <v>0</v>
      </c>
      <c r="L447" s="17">
        <v>0</v>
      </c>
      <c r="M447" s="17">
        <f>G447*L447</f>
        <v>0</v>
      </c>
      <c r="N447" s="5"/>
      <c r="Y447" s="26">
        <f>IF(AP447="5",BI447,0)</f>
        <v>0</v>
      </c>
      <c r="AA447" s="26">
        <f>IF(AP447="1",BG447,0)</f>
        <v>0</v>
      </c>
      <c r="AB447" s="26">
        <f>IF(AP447="1",BH447,0)</f>
        <v>0</v>
      </c>
      <c r="AC447" s="26">
        <f>IF(AP447="7",BG447,0)</f>
        <v>0</v>
      </c>
      <c r="AD447" s="26">
        <f>IF(AP447="7",BH447,0)</f>
        <v>0</v>
      </c>
      <c r="AE447" s="26">
        <f>IF(AP447="2",BG447,0)</f>
        <v>0</v>
      </c>
      <c r="AF447" s="26">
        <f>IF(AP447="2",BH447,0)</f>
        <v>0</v>
      </c>
      <c r="AG447" s="26">
        <f>IF(AP447="0",BI447,0)</f>
        <v>0</v>
      </c>
      <c r="AH447" s="95" t="s">
        <v>273</v>
      </c>
      <c r="AI447" s="17">
        <f>IF(AM447=0,K447,0)</f>
        <v>0</v>
      </c>
      <c r="AJ447" s="17">
        <f>IF(AM447=15,K447,0)</f>
        <v>0</v>
      </c>
      <c r="AK447" s="17">
        <f>IF(AM447=21,K447,0)</f>
        <v>0</v>
      </c>
      <c r="AM447" s="26">
        <v>15</v>
      </c>
      <c r="AN447" s="26">
        <f>H447*1</f>
        <v>0</v>
      </c>
      <c r="AO447" s="26">
        <f>H447*(1-1)</f>
        <v>0</v>
      </c>
      <c r="AP447" s="28" t="s">
        <v>881</v>
      </c>
      <c r="AU447" s="26">
        <f>AV447+AW447</f>
        <v>0</v>
      </c>
      <c r="AV447" s="26">
        <f>G447*AN447</f>
        <v>0</v>
      </c>
      <c r="AW447" s="26">
        <f>G447*AO447</f>
        <v>0</v>
      </c>
      <c r="AX447" s="29" t="s">
        <v>914</v>
      </c>
      <c r="AY447" s="29" t="s">
        <v>931</v>
      </c>
      <c r="AZ447" s="95" t="s">
        <v>937</v>
      </c>
      <c r="BB447" s="26">
        <f>AV447+AW447</f>
        <v>0</v>
      </c>
      <c r="BC447" s="26">
        <f>H447/(100-BD447)*100</f>
        <v>0</v>
      </c>
      <c r="BD447" s="26">
        <v>0</v>
      </c>
      <c r="BE447" s="26">
        <f>M447</f>
        <v>0</v>
      </c>
      <c r="BG447" s="17">
        <f>G447*AN447</f>
        <v>0</v>
      </c>
      <c r="BH447" s="17">
        <f>G447*AO447</f>
        <v>0</v>
      </c>
      <c r="BI447" s="17">
        <f>G447*H447</f>
        <v>0</v>
      </c>
      <c r="BJ447" s="17" t="s">
        <v>946</v>
      </c>
      <c r="BK447" s="26"/>
    </row>
    <row r="448" spans="1:34" ht="12.75">
      <c r="A448" s="3"/>
      <c r="B448" s="11" t="s">
        <v>273</v>
      </c>
      <c r="C448" s="52"/>
      <c r="D448" s="228" t="s">
        <v>820</v>
      </c>
      <c r="E448" s="229"/>
      <c r="F448" s="61" t="s">
        <v>6</v>
      </c>
      <c r="G448" s="61" t="s">
        <v>6</v>
      </c>
      <c r="H448" s="61"/>
      <c r="I448" s="31">
        <f>I449+I451</f>
        <v>0</v>
      </c>
      <c r="J448" s="31">
        <f>J449+J451</f>
        <v>0</v>
      </c>
      <c r="K448" s="128"/>
      <c r="L448" s="24"/>
      <c r="M448" s="31">
        <f>M449+M451</f>
        <v>0</v>
      </c>
      <c r="N448" s="5"/>
      <c r="AH448" s="24" t="s">
        <v>273</v>
      </c>
    </row>
    <row r="449" spans="1:46" ht="12.75">
      <c r="A449" s="3"/>
      <c r="B449" s="11" t="s">
        <v>273</v>
      </c>
      <c r="C449" s="52" t="s">
        <v>534</v>
      </c>
      <c r="D449" s="228" t="s">
        <v>821</v>
      </c>
      <c r="E449" s="229"/>
      <c r="F449" s="61" t="s">
        <v>6</v>
      </c>
      <c r="G449" s="61" t="s">
        <v>6</v>
      </c>
      <c r="H449" s="61"/>
      <c r="I449" s="31">
        <f>SUM(I450:I450)</f>
        <v>0</v>
      </c>
      <c r="J449" s="31">
        <f>SUM(J450:J450)</f>
        <v>0</v>
      </c>
      <c r="K449" s="128">
        <f>SUM(K450:K450)</f>
        <v>0</v>
      </c>
      <c r="L449" s="24"/>
      <c r="M449" s="31">
        <f>SUM(M450:M450)</f>
        <v>0</v>
      </c>
      <c r="N449" s="5"/>
      <c r="AH449" s="24" t="s">
        <v>273</v>
      </c>
      <c r="AR449" s="31">
        <f>SUM(AI450:AI450)</f>
        <v>0</v>
      </c>
      <c r="AS449" s="31">
        <f>SUM(AJ450:AJ450)</f>
        <v>0</v>
      </c>
      <c r="AT449" s="31">
        <f>SUM(AK450:AK450)</f>
        <v>0</v>
      </c>
    </row>
    <row r="450" spans="1:63" ht="12.75">
      <c r="A450" s="4" t="s">
        <v>258</v>
      </c>
      <c r="B450" s="12" t="s">
        <v>273</v>
      </c>
      <c r="C450" s="53" t="s">
        <v>535</v>
      </c>
      <c r="D450" s="230" t="s">
        <v>821</v>
      </c>
      <c r="E450" s="231"/>
      <c r="F450" s="62" t="s">
        <v>855</v>
      </c>
      <c r="G450" s="104">
        <v>1</v>
      </c>
      <c r="H450" s="104"/>
      <c r="I450" s="16">
        <f>G450*AN450</f>
        <v>0</v>
      </c>
      <c r="J450" s="16">
        <f>G450*AO450</f>
        <v>0</v>
      </c>
      <c r="K450" s="126">
        <f>G450*H450</f>
        <v>0</v>
      </c>
      <c r="L450" s="16">
        <v>0</v>
      </c>
      <c r="M450" s="16">
        <f>G450*L450</f>
        <v>0</v>
      </c>
      <c r="N450" s="5"/>
      <c r="Y450" s="26">
        <f>IF(AP450="5",BI450,0)</f>
        <v>0</v>
      </c>
      <c r="AA450" s="26">
        <f>IF(AP450="1",BG450,0)</f>
        <v>0</v>
      </c>
      <c r="AB450" s="26">
        <f>IF(AP450="1",BH450,0)</f>
        <v>0</v>
      </c>
      <c r="AC450" s="26">
        <f>IF(AP450="7",BG450,0)</f>
        <v>0</v>
      </c>
      <c r="AD450" s="26">
        <f>IF(AP450="7",BH450,0)</f>
        <v>0</v>
      </c>
      <c r="AE450" s="26">
        <f>IF(AP450="2",BG450,0)</f>
        <v>0</v>
      </c>
      <c r="AF450" s="26">
        <f>IF(AP450="2",BH450,0)</f>
        <v>0</v>
      </c>
      <c r="AG450" s="26">
        <f>IF(AP450="0",BI450,0)</f>
        <v>0</v>
      </c>
      <c r="AH450" s="24" t="s">
        <v>273</v>
      </c>
      <c r="AI450" s="16">
        <f>IF(AM450=0,K450,0)</f>
        <v>0</v>
      </c>
      <c r="AJ450" s="16">
        <f>IF(AM450=15,K450,0)</f>
        <v>0</v>
      </c>
      <c r="AK450" s="16">
        <f>IF(AM450=21,K450,0)</f>
        <v>0</v>
      </c>
      <c r="AM450" s="26">
        <v>15</v>
      </c>
      <c r="AN450" s="26">
        <f>H450*0</f>
        <v>0</v>
      </c>
      <c r="AO450" s="26">
        <f>H450*(1-0)</f>
        <v>0</v>
      </c>
      <c r="AP450" s="27" t="s">
        <v>105</v>
      </c>
      <c r="AU450" s="26">
        <f>AV450+AW450</f>
        <v>0</v>
      </c>
      <c r="AV450" s="26">
        <f>G450*AN450</f>
        <v>0</v>
      </c>
      <c r="AW450" s="26">
        <f>G450*AO450</f>
        <v>0</v>
      </c>
      <c r="AX450" s="29" t="s">
        <v>915</v>
      </c>
      <c r="AY450" s="29" t="s">
        <v>932</v>
      </c>
      <c r="AZ450" s="24" t="s">
        <v>937</v>
      </c>
      <c r="BB450" s="26">
        <f>AV450+AW450</f>
        <v>0</v>
      </c>
      <c r="BC450" s="26">
        <f>H450/(100-BD450)*100</f>
        <v>0</v>
      </c>
      <c r="BD450" s="26">
        <v>0</v>
      </c>
      <c r="BE450" s="26">
        <f>M450</f>
        <v>0</v>
      </c>
      <c r="BG450" s="16">
        <f>G450*AN450</f>
        <v>0</v>
      </c>
      <c r="BH450" s="16">
        <f>G450*AO450</f>
        <v>0</v>
      </c>
      <c r="BI450" s="16">
        <f>G450*H450</f>
        <v>0</v>
      </c>
      <c r="BJ450" s="16" t="s">
        <v>945</v>
      </c>
      <c r="BK450" s="26" t="s">
        <v>534</v>
      </c>
    </row>
    <row r="451" spans="1:46" ht="12.75">
      <c r="A451" s="3"/>
      <c r="B451" s="11" t="s">
        <v>273</v>
      </c>
      <c r="C451" s="52" t="s">
        <v>536</v>
      </c>
      <c r="D451" s="228" t="s">
        <v>822</v>
      </c>
      <c r="E451" s="229"/>
      <c r="F451" s="61" t="s">
        <v>6</v>
      </c>
      <c r="G451" s="61" t="s">
        <v>6</v>
      </c>
      <c r="H451" s="61"/>
      <c r="I451" s="31">
        <f>SUM(I452:I452)</f>
        <v>0</v>
      </c>
      <c r="J451" s="31">
        <f>SUM(J452:J452)</f>
        <v>0</v>
      </c>
      <c r="K451" s="128">
        <f>SUM(K452:K452)</f>
        <v>0</v>
      </c>
      <c r="L451" s="24"/>
      <c r="M451" s="31">
        <f>SUM(M452:M452)</f>
        <v>0</v>
      </c>
      <c r="N451" s="5"/>
      <c r="AH451" s="24" t="s">
        <v>273</v>
      </c>
      <c r="AR451" s="31">
        <f>SUM(AI452:AI452)</f>
        <v>0</v>
      </c>
      <c r="AS451" s="31">
        <f>SUM(AJ452:AJ452)</f>
        <v>0</v>
      </c>
      <c r="AT451" s="31">
        <f>SUM(AK452:AK452)</f>
        <v>0</v>
      </c>
    </row>
    <row r="452" spans="1:63" ht="12.75">
      <c r="A452" s="4" t="s">
        <v>259</v>
      </c>
      <c r="B452" s="12" t="s">
        <v>273</v>
      </c>
      <c r="C452" s="53" t="s">
        <v>537</v>
      </c>
      <c r="D452" s="230" t="s">
        <v>823</v>
      </c>
      <c r="E452" s="231"/>
      <c r="F452" s="62" t="s">
        <v>855</v>
      </c>
      <c r="G452" s="104">
        <v>1</v>
      </c>
      <c r="H452" s="104"/>
      <c r="I452" s="16">
        <f>G452*AN452</f>
        <v>0</v>
      </c>
      <c r="J452" s="16">
        <f>G452*AO452</f>
        <v>0</v>
      </c>
      <c r="K452" s="126">
        <f>G452*H452</f>
        <v>0</v>
      </c>
      <c r="L452" s="16">
        <v>0</v>
      </c>
      <c r="M452" s="16">
        <f>G452*L452</f>
        <v>0</v>
      </c>
      <c r="N452" s="5"/>
      <c r="Y452" s="26">
        <f>IF(AP452="5",BI452,0)</f>
        <v>0</v>
      </c>
      <c r="AA452" s="26">
        <f>IF(AP452="1",BG452,0)</f>
        <v>0</v>
      </c>
      <c r="AB452" s="26">
        <f>IF(AP452="1",BH452,0)</f>
        <v>0</v>
      </c>
      <c r="AC452" s="26">
        <f>IF(AP452="7",BG452,0)</f>
        <v>0</v>
      </c>
      <c r="AD452" s="26">
        <f>IF(AP452="7",BH452,0)</f>
        <v>0</v>
      </c>
      <c r="AE452" s="26">
        <f>IF(AP452="2",BG452,0)</f>
        <v>0</v>
      </c>
      <c r="AF452" s="26">
        <f>IF(AP452="2",BH452,0)</f>
        <v>0</v>
      </c>
      <c r="AG452" s="26">
        <f>IF(AP452="0",BI452,0)</f>
        <v>0</v>
      </c>
      <c r="AH452" s="24" t="s">
        <v>273</v>
      </c>
      <c r="AI452" s="16">
        <f>IF(AM452=0,K452,0)</f>
        <v>0</v>
      </c>
      <c r="AJ452" s="16">
        <f>IF(AM452=15,K452,0)</f>
        <v>0</v>
      </c>
      <c r="AK452" s="16">
        <f>IF(AM452=21,K452,0)</f>
        <v>0</v>
      </c>
      <c r="AM452" s="26">
        <v>15</v>
      </c>
      <c r="AN452" s="26">
        <f>H452*0</f>
        <v>0</v>
      </c>
      <c r="AO452" s="26">
        <f>H452*(1-0)</f>
        <v>0</v>
      </c>
      <c r="AP452" s="27" t="s">
        <v>105</v>
      </c>
      <c r="AU452" s="26">
        <f>AV452+AW452</f>
        <v>0</v>
      </c>
      <c r="AV452" s="26">
        <f>G452*AN452</f>
        <v>0</v>
      </c>
      <c r="AW452" s="26">
        <f>G452*AO452</f>
        <v>0</v>
      </c>
      <c r="AX452" s="29" t="s">
        <v>916</v>
      </c>
      <c r="AY452" s="29" t="s">
        <v>932</v>
      </c>
      <c r="AZ452" s="24" t="s">
        <v>937</v>
      </c>
      <c r="BB452" s="26">
        <f>AV452+AW452</f>
        <v>0</v>
      </c>
      <c r="BC452" s="26">
        <f>H452/(100-BD452)*100</f>
        <v>0</v>
      </c>
      <c r="BD452" s="26">
        <v>0</v>
      </c>
      <c r="BE452" s="26">
        <f>M452</f>
        <v>0</v>
      </c>
      <c r="BG452" s="16">
        <f>G452*AN452</f>
        <v>0</v>
      </c>
      <c r="BH452" s="16">
        <f>G452*AO452</f>
        <v>0</v>
      </c>
      <c r="BI452" s="16">
        <f>G452*H452</f>
        <v>0</v>
      </c>
      <c r="BJ452" s="16" t="s">
        <v>945</v>
      </c>
      <c r="BK452" s="26" t="s">
        <v>536</v>
      </c>
    </row>
    <row r="453" spans="1:63" s="76" customFormat="1" ht="12.75">
      <c r="A453" s="69"/>
      <c r="B453" s="70"/>
      <c r="C453" s="71"/>
      <c r="D453" s="70"/>
      <c r="E453" s="72"/>
      <c r="F453" s="73"/>
      <c r="G453" s="106"/>
      <c r="H453" s="106"/>
      <c r="I453" s="74"/>
      <c r="J453" s="74"/>
      <c r="K453" s="129"/>
      <c r="L453" s="74"/>
      <c r="M453" s="74"/>
      <c r="N453" s="75"/>
      <c r="Y453" s="77"/>
      <c r="AA453" s="77"/>
      <c r="AB453" s="77"/>
      <c r="AC453" s="77"/>
      <c r="AD453" s="77"/>
      <c r="AE453" s="77"/>
      <c r="AF453" s="77"/>
      <c r="AG453" s="77"/>
      <c r="AH453" s="78"/>
      <c r="AI453" s="74"/>
      <c r="AJ453" s="74"/>
      <c r="AK453" s="74"/>
      <c r="AM453" s="77"/>
      <c r="AN453" s="77"/>
      <c r="AO453" s="77"/>
      <c r="AP453" s="79"/>
      <c r="AU453" s="77"/>
      <c r="AV453" s="77"/>
      <c r="AW453" s="77"/>
      <c r="AX453" s="80"/>
      <c r="AY453" s="80"/>
      <c r="AZ453" s="78"/>
      <c r="BB453" s="77"/>
      <c r="BC453" s="77"/>
      <c r="BD453" s="77"/>
      <c r="BE453" s="77"/>
      <c r="BG453" s="74"/>
      <c r="BH453" s="74"/>
      <c r="BI453" s="74"/>
      <c r="BJ453" s="74"/>
      <c r="BK453" s="77"/>
    </row>
    <row r="454" spans="1:14" s="68" customFormat="1" ht="12.75">
      <c r="A454" s="81"/>
      <c r="B454" s="82" t="s">
        <v>274</v>
      </c>
      <c r="C454" s="83"/>
      <c r="D454" s="240" t="s">
        <v>1149</v>
      </c>
      <c r="E454" s="241"/>
      <c r="F454" s="84" t="s">
        <v>6</v>
      </c>
      <c r="G454" s="84" t="s">
        <v>6</v>
      </c>
      <c r="H454" s="84"/>
      <c r="I454" s="86">
        <f>I455+I458+I460+I463+I467+I469+I473</f>
        <v>0</v>
      </c>
      <c r="J454" s="86">
        <f>J455+J458+J460+J463+J467+J469+J473</f>
        <v>0</v>
      </c>
      <c r="K454" s="86">
        <f>K455+K458+K460+K463+K467+K469+K473</f>
        <v>0</v>
      </c>
      <c r="L454" s="87"/>
      <c r="M454" s="86">
        <f>M455+M458+M460+M463+M467+M469+M473</f>
        <v>5.291962416</v>
      </c>
      <c r="N454" s="67"/>
    </row>
    <row r="455" spans="1:46" ht="12.75">
      <c r="A455" s="3"/>
      <c r="B455" s="11" t="s">
        <v>274</v>
      </c>
      <c r="C455" s="52" t="s">
        <v>7</v>
      </c>
      <c r="D455" s="228" t="s">
        <v>824</v>
      </c>
      <c r="E455" s="229"/>
      <c r="F455" s="61" t="s">
        <v>6</v>
      </c>
      <c r="G455" s="61" t="s">
        <v>6</v>
      </c>
      <c r="H455" s="61"/>
      <c r="I455" s="31">
        <f>SUM(I456:I457)</f>
        <v>0</v>
      </c>
      <c r="J455" s="31">
        <f>SUM(J456:J457)</f>
        <v>0</v>
      </c>
      <c r="K455" s="128">
        <f>SUM(K456:K457)</f>
        <v>0</v>
      </c>
      <c r="L455" s="24"/>
      <c r="M455" s="31">
        <f>SUM(M456:M457)</f>
        <v>0</v>
      </c>
      <c r="N455" s="5"/>
      <c r="AH455" s="24" t="s">
        <v>274</v>
      </c>
      <c r="AR455" s="31">
        <f>SUM(AI456:AI457)</f>
        <v>0</v>
      </c>
      <c r="AS455" s="31">
        <f>SUM(AJ456:AJ457)</f>
        <v>0</v>
      </c>
      <c r="AT455" s="31">
        <f>SUM(AK456:AK457)</f>
        <v>0</v>
      </c>
    </row>
    <row r="456" spans="1:63" ht="12.75">
      <c r="A456" s="4" t="s">
        <v>260</v>
      </c>
      <c r="B456" s="12" t="s">
        <v>274</v>
      </c>
      <c r="C456" s="53" t="s">
        <v>538</v>
      </c>
      <c r="D456" s="230" t="s">
        <v>825</v>
      </c>
      <c r="E456" s="231"/>
      <c r="F456" s="62" t="s">
        <v>848</v>
      </c>
      <c r="G456" s="104">
        <v>1.44</v>
      </c>
      <c r="H456" s="104"/>
      <c r="I456" s="16">
        <f>G456*AN456</f>
        <v>0</v>
      </c>
      <c r="J456" s="16">
        <f>G456*AO456</f>
        <v>0</v>
      </c>
      <c r="K456" s="126">
        <f>G456*H456</f>
        <v>0</v>
      </c>
      <c r="L456" s="16">
        <v>0</v>
      </c>
      <c r="M456" s="16">
        <f>G456*L456</f>
        <v>0</v>
      </c>
      <c r="N456" s="5"/>
      <c r="Y456" s="26">
        <f>IF(AP456="5",BI456,0)</f>
        <v>0</v>
      </c>
      <c r="AA456" s="26">
        <f>IF(AP456="1",BG456,0)</f>
        <v>0</v>
      </c>
      <c r="AB456" s="26">
        <f>IF(AP456="1",BH456,0)</f>
        <v>0</v>
      </c>
      <c r="AC456" s="26">
        <f>IF(AP456="7",BG456,0)</f>
        <v>0</v>
      </c>
      <c r="AD456" s="26">
        <f>IF(AP456="7",BH456,0)</f>
        <v>0</v>
      </c>
      <c r="AE456" s="26">
        <f>IF(AP456="2",BG456,0)</f>
        <v>0</v>
      </c>
      <c r="AF456" s="26">
        <f>IF(AP456="2",BH456,0)</f>
        <v>0</v>
      </c>
      <c r="AG456" s="26">
        <f>IF(AP456="0",BI456,0)</f>
        <v>0</v>
      </c>
      <c r="AH456" s="24" t="s">
        <v>274</v>
      </c>
      <c r="AI456" s="16">
        <f>IF(AM456=0,K456,0)</f>
        <v>0</v>
      </c>
      <c r="AJ456" s="16">
        <f>IF(AM456=15,K456,0)</f>
        <v>0</v>
      </c>
      <c r="AK456" s="16">
        <f>IF(AM456=21,K456,0)</f>
        <v>0</v>
      </c>
      <c r="AM456" s="26">
        <v>15</v>
      </c>
      <c r="AN456" s="26">
        <f>H456*0</f>
        <v>0</v>
      </c>
      <c r="AO456" s="26">
        <f>H456*(1-0)</f>
        <v>0</v>
      </c>
      <c r="AP456" s="27" t="s">
        <v>7</v>
      </c>
      <c r="AU456" s="26">
        <f>AV456+AW456</f>
        <v>0</v>
      </c>
      <c r="AV456" s="26">
        <f>G456*AN456</f>
        <v>0</v>
      </c>
      <c r="AW456" s="26">
        <f>G456*AO456</f>
        <v>0</v>
      </c>
      <c r="AX456" s="29" t="s">
        <v>917</v>
      </c>
      <c r="AY456" s="29" t="s">
        <v>933</v>
      </c>
      <c r="AZ456" s="24" t="s">
        <v>938</v>
      </c>
      <c r="BB456" s="26">
        <f>AV456+AW456</f>
        <v>0</v>
      </c>
      <c r="BC456" s="26">
        <f>H456/(100-BD456)*100</f>
        <v>0</v>
      </c>
      <c r="BD456" s="26">
        <v>0</v>
      </c>
      <c r="BE456" s="26">
        <f>M456</f>
        <v>0</v>
      </c>
      <c r="BG456" s="16">
        <f>G456*AN456</f>
        <v>0</v>
      </c>
      <c r="BH456" s="16">
        <f>G456*AO456</f>
        <v>0</v>
      </c>
      <c r="BI456" s="16">
        <f>G456*H456</f>
        <v>0</v>
      </c>
      <c r="BJ456" s="16" t="s">
        <v>945</v>
      </c>
      <c r="BK456" s="26">
        <v>1</v>
      </c>
    </row>
    <row r="457" spans="1:63" ht="12.75">
      <c r="A457" s="4" t="s">
        <v>261</v>
      </c>
      <c r="B457" s="12" t="s">
        <v>274</v>
      </c>
      <c r="C457" s="53" t="s">
        <v>539</v>
      </c>
      <c r="D457" s="230" t="s">
        <v>826</v>
      </c>
      <c r="E457" s="231"/>
      <c r="F457" s="62" t="s">
        <v>848</v>
      </c>
      <c r="G457" s="104">
        <v>0.864</v>
      </c>
      <c r="H457" s="104"/>
      <c r="I457" s="16">
        <f>G457*AN457</f>
        <v>0</v>
      </c>
      <c r="J457" s="16">
        <f>G457*AO457</f>
        <v>0</v>
      </c>
      <c r="K457" s="126">
        <f>G457*H457</f>
        <v>0</v>
      </c>
      <c r="L457" s="16">
        <v>0</v>
      </c>
      <c r="M457" s="16">
        <f>G457*L457</f>
        <v>0</v>
      </c>
      <c r="N457" s="5"/>
      <c r="Y457" s="26">
        <f>IF(AP457="5",BI457,0)</f>
        <v>0</v>
      </c>
      <c r="AA457" s="26">
        <f>IF(AP457="1",BG457,0)</f>
        <v>0</v>
      </c>
      <c r="AB457" s="26">
        <f>IF(AP457="1",BH457,0)</f>
        <v>0</v>
      </c>
      <c r="AC457" s="26">
        <f>IF(AP457="7",BG457,0)</f>
        <v>0</v>
      </c>
      <c r="AD457" s="26">
        <f>IF(AP457="7",BH457,0)</f>
        <v>0</v>
      </c>
      <c r="AE457" s="26">
        <f>IF(AP457="2",BG457,0)</f>
        <v>0</v>
      </c>
      <c r="AF457" s="26">
        <f>IF(AP457="2",BH457,0)</f>
        <v>0</v>
      </c>
      <c r="AG457" s="26">
        <f>IF(AP457="0",BI457,0)</f>
        <v>0</v>
      </c>
      <c r="AH457" s="24" t="s">
        <v>274</v>
      </c>
      <c r="AI457" s="16">
        <f>IF(AM457=0,K457,0)</f>
        <v>0</v>
      </c>
      <c r="AJ457" s="16">
        <f>IF(AM457=15,K457,0)</f>
        <v>0</v>
      </c>
      <c r="AK457" s="16">
        <f>IF(AM457=21,K457,0)</f>
        <v>0</v>
      </c>
      <c r="AM457" s="26">
        <v>15</v>
      </c>
      <c r="AN457" s="26">
        <f>H457*0</f>
        <v>0</v>
      </c>
      <c r="AO457" s="26">
        <f>H457*(1-0)</f>
        <v>0</v>
      </c>
      <c r="AP457" s="27" t="s">
        <v>7</v>
      </c>
      <c r="AU457" s="26">
        <f>AV457+AW457</f>
        <v>0</v>
      </c>
      <c r="AV457" s="26">
        <f>G457*AN457</f>
        <v>0</v>
      </c>
      <c r="AW457" s="26">
        <f>G457*AO457</f>
        <v>0</v>
      </c>
      <c r="AX457" s="29" t="s">
        <v>917</v>
      </c>
      <c r="AY457" s="29" t="s">
        <v>933</v>
      </c>
      <c r="AZ457" s="24" t="s">
        <v>938</v>
      </c>
      <c r="BB457" s="26">
        <f>AV457+AW457</f>
        <v>0</v>
      </c>
      <c r="BC457" s="26">
        <f>H457/(100-BD457)*100</f>
        <v>0</v>
      </c>
      <c r="BD457" s="26">
        <v>0</v>
      </c>
      <c r="BE457" s="26">
        <f>M457</f>
        <v>0</v>
      </c>
      <c r="BG457" s="16">
        <f>G457*AN457</f>
        <v>0</v>
      </c>
      <c r="BH457" s="16">
        <f>G457*AO457</f>
        <v>0</v>
      </c>
      <c r="BI457" s="16">
        <f>G457*H457</f>
        <v>0</v>
      </c>
      <c r="BJ457" s="16" t="s">
        <v>945</v>
      </c>
      <c r="BK457" s="26">
        <v>1</v>
      </c>
    </row>
    <row r="458" spans="1:46" ht="12.75">
      <c r="A458" s="3"/>
      <c r="B458" s="11" t="s">
        <v>274</v>
      </c>
      <c r="C458" s="52" t="s">
        <v>102</v>
      </c>
      <c r="D458" s="228" t="s">
        <v>701</v>
      </c>
      <c r="E458" s="229"/>
      <c r="F458" s="61" t="s">
        <v>6</v>
      </c>
      <c r="G458" s="61" t="s">
        <v>6</v>
      </c>
      <c r="H458" s="61"/>
      <c r="I458" s="31">
        <f>SUM(I459:I459)</f>
        <v>0</v>
      </c>
      <c r="J458" s="31">
        <f>SUM(J459:J459)</f>
        <v>0</v>
      </c>
      <c r="K458" s="128">
        <f>SUM(K459:K459)</f>
        <v>0</v>
      </c>
      <c r="L458" s="24"/>
      <c r="M458" s="31">
        <f>SUM(M459:M459)</f>
        <v>2.123962416</v>
      </c>
      <c r="N458" s="5"/>
      <c r="AH458" s="24" t="s">
        <v>274</v>
      </c>
      <c r="AR458" s="31">
        <f>SUM(AI459:AI459)</f>
        <v>0</v>
      </c>
      <c r="AS458" s="31">
        <f>SUM(AJ459:AJ459)</f>
        <v>0</v>
      </c>
      <c r="AT458" s="31">
        <f>SUM(AK459:AK459)</f>
        <v>0</v>
      </c>
    </row>
    <row r="459" spans="1:63" ht="12.75">
      <c r="A459" s="4" t="s">
        <v>262</v>
      </c>
      <c r="B459" s="12" t="s">
        <v>274</v>
      </c>
      <c r="C459" s="53" t="s">
        <v>540</v>
      </c>
      <c r="D459" s="230" t="s">
        <v>827</v>
      </c>
      <c r="E459" s="231"/>
      <c r="F459" s="62" t="s">
        <v>848</v>
      </c>
      <c r="G459" s="104">
        <v>0.8784</v>
      </c>
      <c r="H459" s="104"/>
      <c r="I459" s="16">
        <f>G459*AN459</f>
        <v>0</v>
      </c>
      <c r="J459" s="16">
        <f>G459*AO459</f>
        <v>0</v>
      </c>
      <c r="K459" s="126">
        <f>G459*H459</f>
        <v>0</v>
      </c>
      <c r="L459" s="16">
        <v>2.41799</v>
      </c>
      <c r="M459" s="16">
        <f>G459*L459</f>
        <v>2.123962416</v>
      </c>
      <c r="N459" s="5"/>
      <c r="Y459" s="26">
        <f>IF(AP459="5",BI459,0)</f>
        <v>0</v>
      </c>
      <c r="AA459" s="26">
        <f>IF(AP459="1",BG459,0)</f>
        <v>0</v>
      </c>
      <c r="AB459" s="26">
        <f>IF(AP459="1",BH459,0)</f>
        <v>0</v>
      </c>
      <c r="AC459" s="26">
        <f>IF(AP459="7",BG459,0)</f>
        <v>0</v>
      </c>
      <c r="AD459" s="26">
        <f>IF(AP459="7",BH459,0)</f>
        <v>0</v>
      </c>
      <c r="AE459" s="26">
        <f>IF(AP459="2",BG459,0)</f>
        <v>0</v>
      </c>
      <c r="AF459" s="26">
        <f>IF(AP459="2",BH459,0)</f>
        <v>0</v>
      </c>
      <c r="AG459" s="26">
        <f>IF(AP459="0",BI459,0)</f>
        <v>0</v>
      </c>
      <c r="AH459" s="24" t="s">
        <v>274</v>
      </c>
      <c r="AI459" s="16">
        <f>IF(AM459=0,K459,0)</f>
        <v>0</v>
      </c>
      <c r="AJ459" s="16">
        <f>IF(AM459=15,K459,0)</f>
        <v>0</v>
      </c>
      <c r="AK459" s="16">
        <f>IF(AM459=21,K459,0)</f>
        <v>0</v>
      </c>
      <c r="AM459" s="26">
        <v>15</v>
      </c>
      <c r="AN459" s="26">
        <f>H459*0.114686983835385</f>
        <v>0</v>
      </c>
      <c r="AO459" s="26">
        <f>H459*(1-0.114686983835385)</f>
        <v>0</v>
      </c>
      <c r="AP459" s="27" t="s">
        <v>7</v>
      </c>
      <c r="AU459" s="26">
        <f>AV459+AW459</f>
        <v>0</v>
      </c>
      <c r="AV459" s="26">
        <f>G459*AN459</f>
        <v>0</v>
      </c>
      <c r="AW459" s="26">
        <f>G459*AO459</f>
        <v>0</v>
      </c>
      <c r="AX459" s="29" t="s">
        <v>906</v>
      </c>
      <c r="AY459" s="29" t="s">
        <v>934</v>
      </c>
      <c r="AZ459" s="24" t="s">
        <v>938</v>
      </c>
      <c r="BB459" s="26">
        <f>AV459+AW459</f>
        <v>0</v>
      </c>
      <c r="BC459" s="26">
        <f>H459/(100-BD459)*100</f>
        <v>0</v>
      </c>
      <c r="BD459" s="26">
        <v>0</v>
      </c>
      <c r="BE459" s="26">
        <f>M459</f>
        <v>2.123962416</v>
      </c>
      <c r="BG459" s="16">
        <f>G459*AN459</f>
        <v>0</v>
      </c>
      <c r="BH459" s="16">
        <f>G459*AO459</f>
        <v>0</v>
      </c>
      <c r="BI459" s="16">
        <f>G459*H459</f>
        <v>0</v>
      </c>
      <c r="BJ459" s="16" t="s">
        <v>945</v>
      </c>
      <c r="BK459" s="26">
        <v>96</v>
      </c>
    </row>
    <row r="460" spans="1:46" ht="12.75">
      <c r="A460" s="3"/>
      <c r="B460" s="11" t="s">
        <v>274</v>
      </c>
      <c r="C460" s="52" t="s">
        <v>541</v>
      </c>
      <c r="D460" s="228" t="s">
        <v>828</v>
      </c>
      <c r="E460" s="229"/>
      <c r="F460" s="61" t="s">
        <v>6</v>
      </c>
      <c r="G460" s="61" t="s">
        <v>6</v>
      </c>
      <c r="H460" s="61"/>
      <c r="I460" s="31">
        <f>SUM(I461:I461)</f>
        <v>0</v>
      </c>
      <c r="J460" s="31">
        <f>SUM(J461:J461)</f>
        <v>0</v>
      </c>
      <c r="K460" s="128">
        <f>SUM(K461:K461)</f>
        <v>0</v>
      </c>
      <c r="L460" s="24"/>
      <c r="M460" s="31">
        <f>SUM(M461:M461)</f>
        <v>0</v>
      </c>
      <c r="N460" s="5"/>
      <c r="AH460" s="24" t="s">
        <v>274</v>
      </c>
      <c r="AR460" s="31">
        <f>SUM(AI461:AI461)</f>
        <v>0</v>
      </c>
      <c r="AS460" s="31">
        <f>SUM(AJ461:AJ461)</f>
        <v>0</v>
      </c>
      <c r="AT460" s="31">
        <f>SUM(AK461:AK461)</f>
        <v>0</v>
      </c>
    </row>
    <row r="461" spans="1:63" ht="12.75">
      <c r="A461" s="4" t="s">
        <v>263</v>
      </c>
      <c r="B461" s="12" t="s">
        <v>274</v>
      </c>
      <c r="C461" s="53" t="s">
        <v>542</v>
      </c>
      <c r="D461" s="230" t="s">
        <v>829</v>
      </c>
      <c r="E461" s="231"/>
      <c r="F461" s="62" t="s">
        <v>848</v>
      </c>
      <c r="G461" s="104">
        <v>1.92</v>
      </c>
      <c r="H461" s="104"/>
      <c r="I461" s="16">
        <f>G461*AN461</f>
        <v>0</v>
      </c>
      <c r="J461" s="16">
        <f>G461*AO461</f>
        <v>0</v>
      </c>
      <c r="K461" s="126">
        <f>G461*H461</f>
        <v>0</v>
      </c>
      <c r="L461" s="16">
        <v>0</v>
      </c>
      <c r="M461" s="16">
        <f>G461*L461</f>
        <v>0</v>
      </c>
      <c r="N461" s="5"/>
      <c r="Y461" s="26">
        <f>IF(AP461="5",BI461,0)</f>
        <v>0</v>
      </c>
      <c r="AA461" s="26">
        <f>IF(AP461="1",BG461,0)</f>
        <v>0</v>
      </c>
      <c r="AB461" s="26">
        <f>IF(AP461="1",BH461,0)</f>
        <v>0</v>
      </c>
      <c r="AC461" s="26">
        <f>IF(AP461="7",BG461,0)</f>
        <v>0</v>
      </c>
      <c r="AD461" s="26">
        <f>IF(AP461="7",BH461,0)</f>
        <v>0</v>
      </c>
      <c r="AE461" s="26">
        <f>IF(AP461="2",BG461,0)</f>
        <v>0</v>
      </c>
      <c r="AF461" s="26">
        <f>IF(AP461="2",BH461,0)</f>
        <v>0</v>
      </c>
      <c r="AG461" s="26">
        <f>IF(AP461="0",BI461,0)</f>
        <v>0</v>
      </c>
      <c r="AH461" s="24" t="s">
        <v>274</v>
      </c>
      <c r="AI461" s="16">
        <f>IF(AM461=0,K461,0)</f>
        <v>0</v>
      </c>
      <c r="AJ461" s="16">
        <f>IF(AM461=15,K461,0)</f>
        <v>0</v>
      </c>
      <c r="AK461" s="16">
        <f>IF(AM461=21,K461,0)</f>
        <v>0</v>
      </c>
      <c r="AM461" s="26">
        <v>15</v>
      </c>
      <c r="AN461" s="26">
        <f>H461*0</f>
        <v>0</v>
      </c>
      <c r="AO461" s="26">
        <f>H461*(1-0)</f>
        <v>0</v>
      </c>
      <c r="AP461" s="27" t="s">
        <v>8</v>
      </c>
      <c r="AU461" s="26">
        <f>AV461+AW461</f>
        <v>0</v>
      </c>
      <c r="AV461" s="26">
        <f>G461*AN461</f>
        <v>0</v>
      </c>
      <c r="AW461" s="26">
        <f>G461*AO461</f>
        <v>0</v>
      </c>
      <c r="AX461" s="29" t="s">
        <v>918</v>
      </c>
      <c r="AY461" s="29" t="s">
        <v>934</v>
      </c>
      <c r="AZ461" s="24" t="s">
        <v>938</v>
      </c>
      <c r="BB461" s="26">
        <f>AV461+AW461</f>
        <v>0</v>
      </c>
      <c r="BC461" s="26">
        <f>H461/(100-BD461)*100</f>
        <v>0</v>
      </c>
      <c r="BD461" s="26">
        <v>0</v>
      </c>
      <c r="BE461" s="26">
        <f>M461</f>
        <v>0</v>
      </c>
      <c r="BG461" s="16">
        <f>G461*AN461</f>
        <v>0</v>
      </c>
      <c r="BH461" s="16">
        <f>G461*AO461</f>
        <v>0</v>
      </c>
      <c r="BI461" s="16">
        <f>G461*H461</f>
        <v>0</v>
      </c>
      <c r="BJ461" s="16" t="s">
        <v>945</v>
      </c>
      <c r="BK461" s="26" t="s">
        <v>541</v>
      </c>
    </row>
    <row r="462" spans="1:14" s="58" customFormat="1" ht="12.75">
      <c r="A462" s="57"/>
      <c r="C462" s="59" t="s">
        <v>1004</v>
      </c>
      <c r="D462" s="234" t="s">
        <v>830</v>
      </c>
      <c r="E462" s="235"/>
      <c r="F462" s="235"/>
      <c r="G462" s="235"/>
      <c r="H462" s="235"/>
      <c r="I462" s="235"/>
      <c r="J462" s="235"/>
      <c r="K462" s="235"/>
      <c r="L462" s="235"/>
      <c r="M462" s="235"/>
      <c r="N462" s="57"/>
    </row>
    <row r="463" spans="1:46" ht="12.75">
      <c r="A463" s="3"/>
      <c r="B463" s="11" t="s">
        <v>274</v>
      </c>
      <c r="C463" s="52" t="s">
        <v>18</v>
      </c>
      <c r="D463" s="228" t="s">
        <v>831</v>
      </c>
      <c r="E463" s="229"/>
      <c r="F463" s="61" t="s">
        <v>6</v>
      </c>
      <c r="G463" s="61" t="s">
        <v>6</v>
      </c>
      <c r="H463" s="61"/>
      <c r="I463" s="31">
        <f>SUM(I464:I466)</f>
        <v>0</v>
      </c>
      <c r="J463" s="31">
        <f>SUM(J464:J466)</f>
        <v>0</v>
      </c>
      <c r="K463" s="128">
        <f>SUM(K464:K466)</f>
        <v>0</v>
      </c>
      <c r="L463" s="24"/>
      <c r="M463" s="31">
        <f>SUM(M464:M466)</f>
        <v>0</v>
      </c>
      <c r="N463" s="5"/>
      <c r="AH463" s="24" t="s">
        <v>274</v>
      </c>
      <c r="AR463" s="31">
        <f>SUM(AI464:AI466)</f>
        <v>0</v>
      </c>
      <c r="AS463" s="31">
        <f>SUM(AJ464:AJ466)</f>
        <v>0</v>
      </c>
      <c r="AT463" s="31">
        <f>SUM(AK464:AK466)</f>
        <v>0</v>
      </c>
    </row>
    <row r="464" spans="1:63" ht="12.75">
      <c r="A464" s="4" t="s">
        <v>264</v>
      </c>
      <c r="B464" s="12" t="s">
        <v>274</v>
      </c>
      <c r="C464" s="53" t="s">
        <v>543</v>
      </c>
      <c r="D464" s="230" t="s">
        <v>832</v>
      </c>
      <c r="E464" s="231"/>
      <c r="F464" s="62" t="s">
        <v>848</v>
      </c>
      <c r="G464" s="104">
        <v>4.68</v>
      </c>
      <c r="H464" s="104"/>
      <c r="I464" s="16">
        <f>G464*AN464</f>
        <v>0</v>
      </c>
      <c r="J464" s="16">
        <f>G464*AO464</f>
        <v>0</v>
      </c>
      <c r="K464" s="126">
        <f>G464*H464</f>
        <v>0</v>
      </c>
      <c r="L464" s="16">
        <v>0</v>
      </c>
      <c r="M464" s="16">
        <f>G464*L464</f>
        <v>0</v>
      </c>
      <c r="N464" s="5"/>
      <c r="Y464" s="26">
        <f>IF(AP464="5",BI464,0)</f>
        <v>0</v>
      </c>
      <c r="AA464" s="26">
        <f>IF(AP464="1",BG464,0)</f>
        <v>0</v>
      </c>
      <c r="AB464" s="26">
        <f>IF(AP464="1",BH464,0)</f>
        <v>0</v>
      </c>
      <c r="AC464" s="26">
        <f>IF(AP464="7",BG464,0)</f>
        <v>0</v>
      </c>
      <c r="AD464" s="26">
        <f>IF(AP464="7",BH464,0)</f>
        <v>0</v>
      </c>
      <c r="AE464" s="26">
        <f>IF(AP464="2",BG464,0)</f>
        <v>0</v>
      </c>
      <c r="AF464" s="26">
        <f>IF(AP464="2",BH464,0)</f>
        <v>0</v>
      </c>
      <c r="AG464" s="26">
        <f>IF(AP464="0",BI464,0)</f>
        <v>0</v>
      </c>
      <c r="AH464" s="24" t="s">
        <v>274</v>
      </c>
      <c r="AI464" s="16">
        <f>IF(AM464=0,K464,0)</f>
        <v>0</v>
      </c>
      <c r="AJ464" s="16">
        <f>IF(AM464=15,K464,0)</f>
        <v>0</v>
      </c>
      <c r="AK464" s="16">
        <f>IF(AM464=21,K464,0)</f>
        <v>0</v>
      </c>
      <c r="AM464" s="26">
        <v>15</v>
      </c>
      <c r="AN464" s="26">
        <f>H464*0</f>
        <v>0</v>
      </c>
      <c r="AO464" s="26">
        <f>H464*(1-0)</f>
        <v>0</v>
      </c>
      <c r="AP464" s="27" t="s">
        <v>7</v>
      </c>
      <c r="AU464" s="26">
        <f>AV464+AW464</f>
        <v>0</v>
      </c>
      <c r="AV464" s="26">
        <f>G464*AN464</f>
        <v>0</v>
      </c>
      <c r="AW464" s="26">
        <f>G464*AO464</f>
        <v>0</v>
      </c>
      <c r="AX464" s="29" t="s">
        <v>919</v>
      </c>
      <c r="AY464" s="29" t="s">
        <v>933</v>
      </c>
      <c r="AZ464" s="24" t="s">
        <v>938</v>
      </c>
      <c r="BB464" s="26">
        <f>AV464+AW464</f>
        <v>0</v>
      </c>
      <c r="BC464" s="26">
        <f>H464/(100-BD464)*100</f>
        <v>0</v>
      </c>
      <c r="BD464" s="26">
        <v>0</v>
      </c>
      <c r="BE464" s="26">
        <f>M464</f>
        <v>0</v>
      </c>
      <c r="BG464" s="16">
        <f>G464*AN464</f>
        <v>0</v>
      </c>
      <c r="BH464" s="16">
        <f>G464*AO464</f>
        <v>0</v>
      </c>
      <c r="BI464" s="16">
        <f>G464*H464</f>
        <v>0</v>
      </c>
      <c r="BJ464" s="16" t="s">
        <v>945</v>
      </c>
      <c r="BK464" s="26">
        <v>12</v>
      </c>
    </row>
    <row r="465" spans="1:63" ht="12.75">
      <c r="A465" s="4" t="s">
        <v>265</v>
      </c>
      <c r="B465" s="12" t="s">
        <v>274</v>
      </c>
      <c r="C465" s="53" t="s">
        <v>544</v>
      </c>
      <c r="D465" s="230" t="s">
        <v>833</v>
      </c>
      <c r="E465" s="231"/>
      <c r="F465" s="62" t="s">
        <v>848</v>
      </c>
      <c r="G465" s="104">
        <v>3.36</v>
      </c>
      <c r="H465" s="104"/>
      <c r="I465" s="16">
        <f>G465*AN465</f>
        <v>0</v>
      </c>
      <c r="J465" s="16">
        <f>G465*AO465</f>
        <v>0</v>
      </c>
      <c r="K465" s="126">
        <f>G465*H465</f>
        <v>0</v>
      </c>
      <c r="L465" s="16">
        <v>0</v>
      </c>
      <c r="M465" s="16">
        <f>G465*L465</f>
        <v>0</v>
      </c>
      <c r="N465" s="5"/>
      <c r="Y465" s="26">
        <f>IF(AP465="5",BI465,0)</f>
        <v>0</v>
      </c>
      <c r="AA465" s="26">
        <f>IF(AP465="1",BG465,0)</f>
        <v>0</v>
      </c>
      <c r="AB465" s="26">
        <f>IF(AP465="1",BH465,0)</f>
        <v>0</v>
      </c>
      <c r="AC465" s="26">
        <f>IF(AP465="7",BG465,0)</f>
        <v>0</v>
      </c>
      <c r="AD465" s="26">
        <f>IF(AP465="7",BH465,0)</f>
        <v>0</v>
      </c>
      <c r="AE465" s="26">
        <f>IF(AP465="2",BG465,0)</f>
        <v>0</v>
      </c>
      <c r="AF465" s="26">
        <f>IF(AP465="2",BH465,0)</f>
        <v>0</v>
      </c>
      <c r="AG465" s="26">
        <f>IF(AP465="0",BI465,0)</f>
        <v>0</v>
      </c>
      <c r="AH465" s="24" t="s">
        <v>274</v>
      </c>
      <c r="AI465" s="16">
        <f>IF(AM465=0,K465,0)</f>
        <v>0</v>
      </c>
      <c r="AJ465" s="16">
        <f>IF(AM465=15,K465,0)</f>
        <v>0</v>
      </c>
      <c r="AK465" s="16">
        <f>IF(AM465=21,K465,0)</f>
        <v>0</v>
      </c>
      <c r="AM465" s="26">
        <v>15</v>
      </c>
      <c r="AN465" s="26">
        <f>H465*0</f>
        <v>0</v>
      </c>
      <c r="AO465" s="26">
        <f>H465*(1-0)</f>
        <v>0</v>
      </c>
      <c r="AP465" s="27" t="s">
        <v>7</v>
      </c>
      <c r="AU465" s="26">
        <f>AV465+AW465</f>
        <v>0</v>
      </c>
      <c r="AV465" s="26">
        <f>G465*AN465</f>
        <v>0</v>
      </c>
      <c r="AW465" s="26">
        <f>G465*AO465</f>
        <v>0</v>
      </c>
      <c r="AX465" s="29" t="s">
        <v>919</v>
      </c>
      <c r="AY465" s="29" t="s">
        <v>933</v>
      </c>
      <c r="AZ465" s="24" t="s">
        <v>938</v>
      </c>
      <c r="BB465" s="26">
        <f>AV465+AW465</f>
        <v>0</v>
      </c>
      <c r="BC465" s="26">
        <f>H465/(100-BD465)*100</f>
        <v>0</v>
      </c>
      <c r="BD465" s="26">
        <v>0</v>
      </c>
      <c r="BE465" s="26">
        <f>M465</f>
        <v>0</v>
      </c>
      <c r="BG465" s="16">
        <f>G465*AN465</f>
        <v>0</v>
      </c>
      <c r="BH465" s="16">
        <f>G465*AO465</f>
        <v>0</v>
      </c>
      <c r="BI465" s="16">
        <f>G465*H465</f>
        <v>0</v>
      </c>
      <c r="BJ465" s="16" t="s">
        <v>945</v>
      </c>
      <c r="BK465" s="26">
        <v>12</v>
      </c>
    </row>
    <row r="466" spans="1:63" ht="12.75">
      <c r="A466" s="4" t="s">
        <v>266</v>
      </c>
      <c r="B466" s="12" t="s">
        <v>274</v>
      </c>
      <c r="C466" s="53" t="s">
        <v>545</v>
      </c>
      <c r="D466" s="230" t="s">
        <v>834</v>
      </c>
      <c r="E466" s="231"/>
      <c r="F466" s="62" t="s">
        <v>848</v>
      </c>
      <c r="G466" s="104">
        <v>3.36</v>
      </c>
      <c r="H466" s="104"/>
      <c r="I466" s="16">
        <f>G466*AN466</f>
        <v>0</v>
      </c>
      <c r="J466" s="16">
        <f>G466*AO466</f>
        <v>0</v>
      </c>
      <c r="K466" s="126">
        <f>G466*H466</f>
        <v>0</v>
      </c>
      <c r="L466" s="16">
        <v>0</v>
      </c>
      <c r="M466" s="16">
        <f>G466*L466</f>
        <v>0</v>
      </c>
      <c r="N466" s="5"/>
      <c r="Y466" s="26">
        <f>IF(AP466="5",BI466,0)</f>
        <v>0</v>
      </c>
      <c r="AA466" s="26">
        <f>IF(AP466="1",BG466,0)</f>
        <v>0</v>
      </c>
      <c r="AB466" s="26">
        <f>IF(AP466="1",BH466,0)</f>
        <v>0</v>
      </c>
      <c r="AC466" s="26">
        <f>IF(AP466="7",BG466,0)</f>
        <v>0</v>
      </c>
      <c r="AD466" s="26">
        <f>IF(AP466="7",BH466,0)</f>
        <v>0</v>
      </c>
      <c r="AE466" s="26">
        <f>IF(AP466="2",BG466,0)</f>
        <v>0</v>
      </c>
      <c r="AF466" s="26">
        <f>IF(AP466="2",BH466,0)</f>
        <v>0</v>
      </c>
      <c r="AG466" s="26">
        <f>IF(AP466="0",BI466,0)</f>
        <v>0</v>
      </c>
      <c r="AH466" s="24" t="s">
        <v>274</v>
      </c>
      <c r="AI466" s="16">
        <f>IF(AM466=0,K466,0)</f>
        <v>0</v>
      </c>
      <c r="AJ466" s="16">
        <f>IF(AM466=15,K466,0)</f>
        <v>0</v>
      </c>
      <c r="AK466" s="16">
        <f>IF(AM466=21,K466,0)</f>
        <v>0</v>
      </c>
      <c r="AM466" s="26">
        <v>15</v>
      </c>
      <c r="AN466" s="26">
        <f>H466*0</f>
        <v>0</v>
      </c>
      <c r="AO466" s="26">
        <f>H466*(1-0)</f>
        <v>0</v>
      </c>
      <c r="AP466" s="27" t="s">
        <v>7</v>
      </c>
      <c r="AU466" s="26">
        <f>AV466+AW466</f>
        <v>0</v>
      </c>
      <c r="AV466" s="26">
        <f>G466*AN466</f>
        <v>0</v>
      </c>
      <c r="AW466" s="26">
        <f>G466*AO466</f>
        <v>0</v>
      </c>
      <c r="AX466" s="29" t="s">
        <v>919</v>
      </c>
      <c r="AY466" s="29" t="s">
        <v>933</v>
      </c>
      <c r="AZ466" s="24" t="s">
        <v>938</v>
      </c>
      <c r="BB466" s="26">
        <f>AV466+AW466</f>
        <v>0</v>
      </c>
      <c r="BC466" s="26">
        <f>H466/(100-BD466)*100</f>
        <v>0</v>
      </c>
      <c r="BD466" s="26">
        <v>0</v>
      </c>
      <c r="BE466" s="26">
        <f>M466</f>
        <v>0</v>
      </c>
      <c r="BG466" s="16">
        <f>G466*AN466</f>
        <v>0</v>
      </c>
      <c r="BH466" s="16">
        <f>G466*AO466</f>
        <v>0</v>
      </c>
      <c r="BI466" s="16">
        <f>G466*H466</f>
        <v>0</v>
      </c>
      <c r="BJ466" s="16" t="s">
        <v>945</v>
      </c>
      <c r="BK466" s="26">
        <v>12</v>
      </c>
    </row>
    <row r="467" spans="1:46" ht="12.75">
      <c r="A467" s="3"/>
      <c r="B467" s="11" t="s">
        <v>274</v>
      </c>
      <c r="C467" s="52" t="s">
        <v>23</v>
      </c>
      <c r="D467" s="228" t="s">
        <v>835</v>
      </c>
      <c r="E467" s="229"/>
      <c r="F467" s="61" t="s">
        <v>6</v>
      </c>
      <c r="G467" s="61" t="s">
        <v>6</v>
      </c>
      <c r="H467" s="61"/>
      <c r="I467" s="31">
        <f>SUM(I468:I468)</f>
        <v>0</v>
      </c>
      <c r="J467" s="31">
        <f>SUM(J468:J468)</f>
        <v>0</v>
      </c>
      <c r="K467" s="128">
        <f>SUM(K468:K468)</f>
        <v>0</v>
      </c>
      <c r="L467" s="24"/>
      <c r="M467" s="31">
        <f>SUM(M468:M468)</f>
        <v>0</v>
      </c>
      <c r="N467" s="5"/>
      <c r="AH467" s="24" t="s">
        <v>274</v>
      </c>
      <c r="AR467" s="31">
        <f>SUM(AI468:AI468)</f>
        <v>0</v>
      </c>
      <c r="AS467" s="31">
        <f>SUM(AJ468:AJ468)</f>
        <v>0</v>
      </c>
      <c r="AT467" s="31">
        <f>SUM(AK468:AK468)</f>
        <v>0</v>
      </c>
    </row>
    <row r="468" spans="1:63" ht="12.75">
      <c r="A468" s="4" t="s">
        <v>267</v>
      </c>
      <c r="B468" s="12" t="s">
        <v>274</v>
      </c>
      <c r="C468" s="53" t="s">
        <v>546</v>
      </c>
      <c r="D468" s="230" t="s">
        <v>836</v>
      </c>
      <c r="E468" s="231"/>
      <c r="F468" s="62" t="s">
        <v>848</v>
      </c>
      <c r="G468" s="104">
        <v>2.304</v>
      </c>
      <c r="H468" s="104"/>
      <c r="I468" s="16">
        <f>G468*AN468</f>
        <v>0</v>
      </c>
      <c r="J468" s="16">
        <f>G468*AO468</f>
        <v>0</v>
      </c>
      <c r="K468" s="126">
        <f>G468*H468</f>
        <v>0</v>
      </c>
      <c r="L468" s="16">
        <v>0</v>
      </c>
      <c r="M468" s="16">
        <f>G468*L468</f>
        <v>0</v>
      </c>
      <c r="N468" s="5"/>
      <c r="Y468" s="26">
        <f>IF(AP468="5",BI468,0)</f>
        <v>0</v>
      </c>
      <c r="AA468" s="26">
        <f>IF(AP468="1",BG468,0)</f>
        <v>0</v>
      </c>
      <c r="AB468" s="26">
        <f>IF(AP468="1",BH468,0)</f>
        <v>0</v>
      </c>
      <c r="AC468" s="26">
        <f>IF(AP468="7",BG468,0)</f>
        <v>0</v>
      </c>
      <c r="AD468" s="26">
        <f>IF(AP468="7",BH468,0)</f>
        <v>0</v>
      </c>
      <c r="AE468" s="26">
        <f>IF(AP468="2",BG468,0)</f>
        <v>0</v>
      </c>
      <c r="AF468" s="26">
        <f>IF(AP468="2",BH468,0)</f>
        <v>0</v>
      </c>
      <c r="AG468" s="26">
        <f>IF(AP468="0",BI468,0)</f>
        <v>0</v>
      </c>
      <c r="AH468" s="24" t="s">
        <v>274</v>
      </c>
      <c r="AI468" s="16">
        <f>IF(AM468=0,K468,0)</f>
        <v>0</v>
      </c>
      <c r="AJ468" s="16">
        <f>IF(AM468=15,K468,0)</f>
        <v>0</v>
      </c>
      <c r="AK468" s="16">
        <f>IF(AM468=21,K468,0)</f>
        <v>0</v>
      </c>
      <c r="AM468" s="26">
        <v>15</v>
      </c>
      <c r="AN468" s="26">
        <f>H468*0</f>
        <v>0</v>
      </c>
      <c r="AO468" s="26">
        <f>H468*(1-0)</f>
        <v>0</v>
      </c>
      <c r="AP468" s="27" t="s">
        <v>7</v>
      </c>
      <c r="AU468" s="26">
        <f>AV468+AW468</f>
        <v>0</v>
      </c>
      <c r="AV468" s="26">
        <f>G468*AN468</f>
        <v>0</v>
      </c>
      <c r="AW468" s="26">
        <f>G468*AO468</f>
        <v>0</v>
      </c>
      <c r="AX468" s="29" t="s">
        <v>920</v>
      </c>
      <c r="AY468" s="29" t="s">
        <v>933</v>
      </c>
      <c r="AZ468" s="24" t="s">
        <v>938</v>
      </c>
      <c r="BB468" s="26">
        <f>AV468+AW468</f>
        <v>0</v>
      </c>
      <c r="BC468" s="26">
        <f>H468/(100-BD468)*100</f>
        <v>0</v>
      </c>
      <c r="BD468" s="26">
        <v>0</v>
      </c>
      <c r="BE468" s="26">
        <f>M468</f>
        <v>0</v>
      </c>
      <c r="BG468" s="16">
        <f>G468*AN468</f>
        <v>0</v>
      </c>
      <c r="BH468" s="16">
        <f>G468*AO468</f>
        <v>0</v>
      </c>
      <c r="BI468" s="16">
        <f>G468*H468</f>
        <v>0</v>
      </c>
      <c r="BJ468" s="16" t="s">
        <v>945</v>
      </c>
      <c r="BK468" s="26">
        <v>17</v>
      </c>
    </row>
    <row r="469" spans="1:46" ht="12.75">
      <c r="A469" s="3"/>
      <c r="B469" s="11" t="s">
        <v>274</v>
      </c>
      <c r="C469" s="52"/>
      <c r="D469" s="228" t="s">
        <v>768</v>
      </c>
      <c r="E469" s="229"/>
      <c r="F469" s="61" t="s">
        <v>6</v>
      </c>
      <c r="G469" s="61" t="s">
        <v>6</v>
      </c>
      <c r="H469" s="61"/>
      <c r="I469" s="31">
        <f>SUM(I470:I471)</f>
        <v>0</v>
      </c>
      <c r="J469" s="31">
        <f>SUM(J470:J471)</f>
        <v>0</v>
      </c>
      <c r="K469" s="128">
        <f>SUM(K470:K471)</f>
        <v>0</v>
      </c>
      <c r="L469" s="24"/>
      <c r="M469" s="31">
        <f>SUM(M470:M471)</f>
        <v>3.1679999999999997</v>
      </c>
      <c r="N469" s="5"/>
      <c r="AH469" s="24" t="s">
        <v>274</v>
      </c>
      <c r="AR469" s="31">
        <f>SUM(AI470:AI471)</f>
        <v>0</v>
      </c>
      <c r="AS469" s="31">
        <f>SUM(AJ470:AJ471)</f>
        <v>0</v>
      </c>
      <c r="AT469" s="31">
        <f>SUM(AK470:AK471)</f>
        <v>0</v>
      </c>
    </row>
    <row r="470" spans="1:63" ht="12.75">
      <c r="A470" s="6" t="s">
        <v>268</v>
      </c>
      <c r="B470" s="13" t="s">
        <v>274</v>
      </c>
      <c r="C470" s="54" t="s">
        <v>547</v>
      </c>
      <c r="D470" s="238" t="s">
        <v>837</v>
      </c>
      <c r="E470" s="239"/>
      <c r="F470" s="63" t="s">
        <v>851</v>
      </c>
      <c r="G470" s="105">
        <v>2.304</v>
      </c>
      <c r="H470" s="105"/>
      <c r="I470" s="17">
        <f>G470*AN470</f>
        <v>0</v>
      </c>
      <c r="J470" s="17">
        <f>G470*AO470</f>
        <v>0</v>
      </c>
      <c r="K470" s="126">
        <f>G470*H470</f>
        <v>0</v>
      </c>
      <c r="L470" s="17">
        <v>1</v>
      </c>
      <c r="M470" s="36">
        <f>G470*L470</f>
        <v>2.304</v>
      </c>
      <c r="N470" s="98"/>
      <c r="Y470" s="26">
        <f>IF(AP470="5",BI470,0)</f>
        <v>0</v>
      </c>
      <c r="AA470" s="26">
        <f>IF(AP470="1",BG470,0)</f>
        <v>0</v>
      </c>
      <c r="AB470" s="26">
        <f>IF(AP470="1",BH470,0)</f>
        <v>0</v>
      </c>
      <c r="AC470" s="26">
        <f>IF(AP470="7",BG470,0)</f>
        <v>0</v>
      </c>
      <c r="AD470" s="26">
        <f>IF(AP470="7",BH470,0)</f>
        <v>0</v>
      </c>
      <c r="AE470" s="26">
        <f>IF(AP470="2",BG470,0)</f>
        <v>0</v>
      </c>
      <c r="AF470" s="26">
        <f>IF(AP470="2",BH470,0)</f>
        <v>0</v>
      </c>
      <c r="AG470" s="26">
        <f>IF(AP470="0",BI470,0)</f>
        <v>0</v>
      </c>
      <c r="AH470" s="24" t="s">
        <v>274</v>
      </c>
      <c r="AI470" s="17">
        <f>IF(AM470=0,K470,0)</f>
        <v>0</v>
      </c>
      <c r="AJ470" s="17">
        <f>IF(AM470=15,K470,0)</f>
        <v>0</v>
      </c>
      <c r="AK470" s="17">
        <f>IF(AM470=21,K470,0)</f>
        <v>0</v>
      </c>
      <c r="AM470" s="26">
        <v>15</v>
      </c>
      <c r="AN470" s="26">
        <f>H470*1</f>
        <v>0</v>
      </c>
      <c r="AO470" s="26">
        <f>H470*(1-1)</f>
        <v>0</v>
      </c>
      <c r="AP470" s="28" t="s">
        <v>881</v>
      </c>
      <c r="AU470" s="26">
        <f>AV470+AW470</f>
        <v>0</v>
      </c>
      <c r="AV470" s="26">
        <f>G470*AN470</f>
        <v>0</v>
      </c>
      <c r="AW470" s="26">
        <f>G470*AO470</f>
        <v>0</v>
      </c>
      <c r="AX470" s="29" t="s">
        <v>914</v>
      </c>
      <c r="AY470" s="29" t="s">
        <v>935</v>
      </c>
      <c r="AZ470" s="24" t="s">
        <v>938</v>
      </c>
      <c r="BB470" s="26">
        <f>AV470+AW470</f>
        <v>0</v>
      </c>
      <c r="BC470" s="26">
        <f>H470/(100-BD470)*100</f>
        <v>0</v>
      </c>
      <c r="BD470" s="26">
        <v>0</v>
      </c>
      <c r="BE470" s="26">
        <f>M470</f>
        <v>2.304</v>
      </c>
      <c r="BG470" s="17">
        <f>G470*AN470</f>
        <v>0</v>
      </c>
      <c r="BH470" s="17">
        <f>G470*AO470</f>
        <v>0</v>
      </c>
      <c r="BI470" s="17">
        <f>G470*H470</f>
        <v>0</v>
      </c>
      <c r="BJ470" s="17" t="s">
        <v>946</v>
      </c>
      <c r="BK470" s="26"/>
    </row>
    <row r="471" spans="1:63" ht="12.75">
      <c r="A471" s="6" t="s">
        <v>269</v>
      </c>
      <c r="B471" s="13" t="s">
        <v>274</v>
      </c>
      <c r="C471" s="54" t="s">
        <v>548</v>
      </c>
      <c r="D471" s="238" t="s">
        <v>838</v>
      </c>
      <c r="E471" s="239"/>
      <c r="F471" s="63" t="s">
        <v>851</v>
      </c>
      <c r="G471" s="105">
        <v>0.864</v>
      </c>
      <c r="H471" s="105"/>
      <c r="I471" s="17">
        <f>G471*AN471</f>
        <v>0</v>
      </c>
      <c r="J471" s="17">
        <f>G471*AO471</f>
        <v>0</v>
      </c>
      <c r="K471" s="126">
        <f>G471*H471</f>
        <v>0</v>
      </c>
      <c r="L471" s="17">
        <v>1</v>
      </c>
      <c r="M471" s="36">
        <f>G471*L471</f>
        <v>0.864</v>
      </c>
      <c r="N471" s="98"/>
      <c r="Y471" s="26">
        <f>IF(AP471="5",BI471,0)</f>
        <v>0</v>
      </c>
      <c r="AA471" s="26">
        <f>IF(AP471="1",BG471,0)</f>
        <v>0</v>
      </c>
      <c r="AB471" s="26">
        <f>IF(AP471="1",BH471,0)</f>
        <v>0</v>
      </c>
      <c r="AC471" s="26">
        <f>IF(AP471="7",BG471,0)</f>
        <v>0</v>
      </c>
      <c r="AD471" s="26">
        <f>IF(AP471="7",BH471,0)</f>
        <v>0</v>
      </c>
      <c r="AE471" s="26">
        <f>IF(AP471="2",BG471,0)</f>
        <v>0</v>
      </c>
      <c r="AF471" s="26">
        <f>IF(AP471="2",BH471,0)</f>
        <v>0</v>
      </c>
      <c r="AG471" s="26">
        <f>IF(AP471="0",BI471,0)</f>
        <v>0</v>
      </c>
      <c r="AH471" s="24" t="s">
        <v>274</v>
      </c>
      <c r="AI471" s="17">
        <f>IF(AM471=0,K471,0)</f>
        <v>0</v>
      </c>
      <c r="AJ471" s="17">
        <f>IF(AM471=15,K471,0)</f>
        <v>0</v>
      </c>
      <c r="AK471" s="17">
        <f>IF(AM471=21,K471,0)</f>
        <v>0</v>
      </c>
      <c r="AM471" s="26">
        <v>15</v>
      </c>
      <c r="AN471" s="26">
        <f>H471*1</f>
        <v>0</v>
      </c>
      <c r="AO471" s="26">
        <f>H471*(1-1)</f>
        <v>0</v>
      </c>
      <c r="AP471" s="28" t="s">
        <v>881</v>
      </c>
      <c r="AU471" s="26">
        <f>AV471+AW471</f>
        <v>0</v>
      </c>
      <c r="AV471" s="26">
        <f>G471*AN471</f>
        <v>0</v>
      </c>
      <c r="AW471" s="26">
        <f>G471*AO471</f>
        <v>0</v>
      </c>
      <c r="AX471" s="29" t="s">
        <v>914</v>
      </c>
      <c r="AY471" s="29" t="s">
        <v>935</v>
      </c>
      <c r="AZ471" s="24" t="s">
        <v>938</v>
      </c>
      <c r="BB471" s="26">
        <f>AV471+AW471</f>
        <v>0</v>
      </c>
      <c r="BC471" s="26">
        <f>H471/(100-BD471)*100</f>
        <v>0</v>
      </c>
      <c r="BD471" s="26">
        <v>0</v>
      </c>
      <c r="BE471" s="26">
        <f>M471</f>
        <v>0.864</v>
      </c>
      <c r="BG471" s="17">
        <f>G471*AN471</f>
        <v>0</v>
      </c>
      <c r="BH471" s="17">
        <f>G471*AO471</f>
        <v>0</v>
      </c>
      <c r="BI471" s="17">
        <f>G471*H471</f>
        <v>0</v>
      </c>
      <c r="BJ471" s="17" t="s">
        <v>946</v>
      </c>
      <c r="BK471" s="26"/>
    </row>
    <row r="472" spans="1:34" ht="12.75">
      <c r="A472" s="3"/>
      <c r="B472" s="11" t="s">
        <v>274</v>
      </c>
      <c r="C472" s="52"/>
      <c r="D472" s="228" t="s">
        <v>820</v>
      </c>
      <c r="E472" s="229"/>
      <c r="F472" s="61" t="s">
        <v>6</v>
      </c>
      <c r="G472" s="61" t="s">
        <v>6</v>
      </c>
      <c r="H472" s="61"/>
      <c r="I472" s="31"/>
      <c r="J472" s="31"/>
      <c r="K472" s="128"/>
      <c r="L472" s="24"/>
      <c r="M472" s="160">
        <f>M473</f>
        <v>0</v>
      </c>
      <c r="N472" s="98"/>
      <c r="AH472" s="24" t="s">
        <v>274</v>
      </c>
    </row>
    <row r="473" spans="1:46" ht="12.75">
      <c r="A473" s="3"/>
      <c r="B473" s="11" t="s">
        <v>274</v>
      </c>
      <c r="C473" s="52" t="s">
        <v>549</v>
      </c>
      <c r="D473" s="228" t="s">
        <v>839</v>
      </c>
      <c r="E473" s="229"/>
      <c r="F473" s="61" t="s">
        <v>6</v>
      </c>
      <c r="G473" s="61" t="s">
        <v>6</v>
      </c>
      <c r="H473" s="61"/>
      <c r="I473" s="31">
        <f>SUM(I474:I474)</f>
        <v>0</v>
      </c>
      <c r="J473" s="31">
        <f>SUM(J474:J474)</f>
        <v>0</v>
      </c>
      <c r="K473" s="128">
        <f>SUM(K474:K474)</f>
        <v>0</v>
      </c>
      <c r="L473" s="24"/>
      <c r="M473" s="160">
        <f>SUM(M474:M474)</f>
        <v>0</v>
      </c>
      <c r="N473" s="98"/>
      <c r="AH473" s="24" t="s">
        <v>274</v>
      </c>
      <c r="AR473" s="31">
        <f>SUM(AI474:AI474)</f>
        <v>0</v>
      </c>
      <c r="AS473" s="31">
        <f>SUM(AJ474:AJ474)</f>
        <v>0</v>
      </c>
      <c r="AT473" s="31">
        <f>SUM(AK474:AK474)</f>
        <v>0</v>
      </c>
    </row>
    <row r="474" spans="1:63" ht="12.75">
      <c r="A474" s="7" t="s">
        <v>270</v>
      </c>
      <c r="B474" s="14" t="s">
        <v>274</v>
      </c>
      <c r="C474" s="55" t="s">
        <v>550</v>
      </c>
      <c r="D474" s="242" t="s">
        <v>840</v>
      </c>
      <c r="E474" s="243"/>
      <c r="F474" s="64" t="s">
        <v>855</v>
      </c>
      <c r="G474" s="107">
        <v>1</v>
      </c>
      <c r="H474" s="107"/>
      <c r="I474" s="18">
        <f>G474*AN474</f>
        <v>0</v>
      </c>
      <c r="J474" s="18">
        <f>G474*AO474</f>
        <v>0</v>
      </c>
      <c r="K474" s="130">
        <f>G474*H474</f>
        <v>0</v>
      </c>
      <c r="L474" s="18">
        <v>0</v>
      </c>
      <c r="M474" s="161">
        <f>G474*L474</f>
        <v>0</v>
      </c>
      <c r="N474" s="98"/>
      <c r="Y474" s="26">
        <f>IF(AP474="5",BI474,0)</f>
        <v>0</v>
      </c>
      <c r="AA474" s="26">
        <f>IF(AP474="1",BG474,0)</f>
        <v>0</v>
      </c>
      <c r="AB474" s="26">
        <f>IF(AP474="1",BH474,0)</f>
        <v>0</v>
      </c>
      <c r="AC474" s="26">
        <f>IF(AP474="7",BG474,0)</f>
        <v>0</v>
      </c>
      <c r="AD474" s="26">
        <f>IF(AP474="7",BH474,0)</f>
        <v>0</v>
      </c>
      <c r="AE474" s="26">
        <f>IF(AP474="2",BG474,0)</f>
        <v>0</v>
      </c>
      <c r="AF474" s="26">
        <f>IF(AP474="2",BH474,0)</f>
        <v>0</v>
      </c>
      <c r="AG474" s="26">
        <f>IF(AP474="0",BI474,0)</f>
        <v>0</v>
      </c>
      <c r="AH474" s="24" t="s">
        <v>274</v>
      </c>
      <c r="AI474" s="16">
        <f>IF(AM474=0,K474,0)</f>
        <v>0</v>
      </c>
      <c r="AJ474" s="16">
        <f>IF(AM474=15,K474,0)</f>
        <v>0</v>
      </c>
      <c r="AK474" s="16">
        <f>IF(AM474=21,K474,0)</f>
        <v>0</v>
      </c>
      <c r="AM474" s="26">
        <v>15</v>
      </c>
      <c r="AN474" s="26">
        <f>H474*0</f>
        <v>0</v>
      </c>
      <c r="AO474" s="26">
        <f>H474*(1-0)</f>
        <v>0</v>
      </c>
      <c r="AP474" s="27" t="s">
        <v>105</v>
      </c>
      <c r="AU474" s="26">
        <f>AV474+AW474</f>
        <v>0</v>
      </c>
      <c r="AV474" s="26">
        <f>G474*AN474</f>
        <v>0</v>
      </c>
      <c r="AW474" s="26">
        <f>G474*AO474</f>
        <v>0</v>
      </c>
      <c r="AX474" s="29" t="s">
        <v>921</v>
      </c>
      <c r="AY474" s="29" t="s">
        <v>936</v>
      </c>
      <c r="AZ474" s="24" t="s">
        <v>938</v>
      </c>
      <c r="BB474" s="26">
        <f>AV474+AW474</f>
        <v>0</v>
      </c>
      <c r="BC474" s="26">
        <f>H474/(100-BD474)*100</f>
        <v>0</v>
      </c>
      <c r="BD474" s="26">
        <v>0</v>
      </c>
      <c r="BE474" s="26">
        <f>M474</f>
        <v>0</v>
      </c>
      <c r="BG474" s="16">
        <f>G474*AN474</f>
        <v>0</v>
      </c>
      <c r="BH474" s="16">
        <f>G474*AO474</f>
        <v>0</v>
      </c>
      <c r="BI474" s="16">
        <f>G474*H474</f>
        <v>0</v>
      </c>
      <c r="BJ474" s="16" t="s">
        <v>945</v>
      </c>
      <c r="BK474" s="26" t="s">
        <v>549</v>
      </c>
    </row>
    <row r="475" spans="1:63" s="76" customFormat="1" ht="12.75">
      <c r="A475" s="69"/>
      <c r="B475" s="70"/>
      <c r="C475" s="71"/>
      <c r="D475" s="70"/>
      <c r="E475" s="72"/>
      <c r="F475" s="73"/>
      <c r="G475" s="106"/>
      <c r="H475" s="106"/>
      <c r="I475" s="74"/>
      <c r="J475" s="74"/>
      <c r="K475" s="129"/>
      <c r="L475" s="74"/>
      <c r="M475" s="162"/>
      <c r="N475" s="157"/>
      <c r="Y475" s="77"/>
      <c r="AA475" s="77"/>
      <c r="AB475" s="77"/>
      <c r="AC475" s="77"/>
      <c r="AD475" s="77"/>
      <c r="AE475" s="77"/>
      <c r="AF475" s="77"/>
      <c r="AG475" s="77"/>
      <c r="AH475" s="78"/>
      <c r="AI475" s="74"/>
      <c r="AJ475" s="74"/>
      <c r="AK475" s="74"/>
      <c r="AM475" s="77"/>
      <c r="AN475" s="77"/>
      <c r="AO475" s="77"/>
      <c r="AP475" s="79"/>
      <c r="AU475" s="77"/>
      <c r="AV475" s="77"/>
      <c r="AW475" s="77"/>
      <c r="AX475" s="80"/>
      <c r="AY475" s="80"/>
      <c r="AZ475" s="78"/>
      <c r="BB475" s="77"/>
      <c r="BC475" s="77"/>
      <c r="BD475" s="77"/>
      <c r="BE475" s="77"/>
      <c r="BG475" s="74"/>
      <c r="BH475" s="74"/>
      <c r="BI475" s="74"/>
      <c r="BJ475" s="74"/>
      <c r="BK475" s="77"/>
    </row>
    <row r="476" spans="1:14" s="68" customFormat="1" ht="12.75">
      <c r="A476" s="85"/>
      <c r="B476" s="82" t="s">
        <v>1150</v>
      </c>
      <c r="C476" s="83"/>
      <c r="D476" s="240" t="s">
        <v>1652</v>
      </c>
      <c r="E476" s="241"/>
      <c r="F476" s="84" t="s">
        <v>6</v>
      </c>
      <c r="G476" s="84" t="s">
        <v>6</v>
      </c>
      <c r="H476" s="84" t="s">
        <v>6</v>
      </c>
      <c r="I476" s="86"/>
      <c r="J476" s="86"/>
      <c r="K476" s="86">
        <f>K478+K480+K486+K495+K506+K512+K535+K558+K603+K654+K657+K664</f>
        <v>0</v>
      </c>
      <c r="L476" s="87"/>
      <c r="M476" s="163"/>
      <c r="N476" s="158"/>
    </row>
    <row r="477" spans="1:14" s="119" customFormat="1" ht="12.75">
      <c r="A477" s="110"/>
      <c r="B477" s="111" t="s">
        <v>1150</v>
      </c>
      <c r="C477" s="111" t="s">
        <v>951</v>
      </c>
      <c r="D477" s="112"/>
      <c r="E477" s="111" t="s">
        <v>1151</v>
      </c>
      <c r="F477" s="113"/>
      <c r="G477" s="114"/>
      <c r="H477" s="114"/>
      <c r="I477" s="115"/>
      <c r="J477" s="116"/>
      <c r="K477" s="131"/>
      <c r="L477" s="117"/>
      <c r="M477" s="164"/>
      <c r="N477" s="118"/>
    </row>
    <row r="478" spans="1:14" s="119" customFormat="1" ht="12.75">
      <c r="A478" s="110"/>
      <c r="B478" s="111" t="s">
        <v>1150</v>
      </c>
      <c r="C478" s="111" t="s">
        <v>9</v>
      </c>
      <c r="D478" s="120"/>
      <c r="E478" s="121" t="s">
        <v>1152</v>
      </c>
      <c r="F478" s="122"/>
      <c r="G478" s="114"/>
      <c r="H478" s="114"/>
      <c r="I478" s="115"/>
      <c r="J478" s="116"/>
      <c r="K478" s="131">
        <f>SUM(K479)</f>
        <v>0</v>
      </c>
      <c r="L478" s="117"/>
      <c r="M478" s="165">
        <v>0.14734</v>
      </c>
      <c r="N478" s="118"/>
    </row>
    <row r="479" spans="1:14" s="103" customFormat="1" ht="25.5">
      <c r="A479" s="97" t="s">
        <v>1470</v>
      </c>
      <c r="B479" s="97" t="s">
        <v>1150</v>
      </c>
      <c r="C479" s="97" t="s">
        <v>1153</v>
      </c>
      <c r="D479" s="97"/>
      <c r="E479" s="109" t="s">
        <v>1154</v>
      </c>
      <c r="F479" s="108" t="s">
        <v>850</v>
      </c>
      <c r="G479" s="108">
        <v>2</v>
      </c>
      <c r="H479" s="108"/>
      <c r="I479" s="100"/>
      <c r="J479" s="101"/>
      <c r="K479" s="126">
        <f>G479*H479</f>
        <v>0</v>
      </c>
      <c r="L479" s="102"/>
      <c r="M479" s="166">
        <v>0.14734</v>
      </c>
      <c r="N479" s="99"/>
    </row>
    <row r="480" spans="1:14" s="125" customFormat="1" ht="12.75">
      <c r="A480" s="111"/>
      <c r="B480" s="111" t="s">
        <v>1150</v>
      </c>
      <c r="C480" s="111" t="s">
        <v>15</v>
      </c>
      <c r="D480" s="111"/>
      <c r="E480" s="121" t="s">
        <v>1156</v>
      </c>
      <c r="F480" s="114"/>
      <c r="G480" s="122"/>
      <c r="H480" s="122"/>
      <c r="I480" s="123"/>
      <c r="J480" s="116"/>
      <c r="K480" s="131">
        <f>SUM(K481:K485)</f>
        <v>0</v>
      </c>
      <c r="L480" s="117"/>
      <c r="M480" s="165">
        <v>0.151985</v>
      </c>
      <c r="N480" s="124"/>
    </row>
    <row r="481" spans="1:14" s="103" customFormat="1" ht="38.25">
      <c r="A481" s="97" t="s">
        <v>1471</v>
      </c>
      <c r="B481" s="97" t="s">
        <v>1150</v>
      </c>
      <c r="C481" s="97" t="s">
        <v>1157</v>
      </c>
      <c r="D481" s="97"/>
      <c r="E481" s="109" t="s">
        <v>1679</v>
      </c>
      <c r="F481" s="108" t="s">
        <v>1155</v>
      </c>
      <c r="G481" s="108">
        <v>1</v>
      </c>
      <c r="H481" s="108"/>
      <c r="I481" s="100"/>
      <c r="J481" s="101"/>
      <c r="K481" s="126">
        <f>G481*H481</f>
        <v>0</v>
      </c>
      <c r="L481" s="102"/>
      <c r="M481" s="166">
        <v>0.11902</v>
      </c>
      <c r="N481" s="99"/>
    </row>
    <row r="482" spans="1:14" s="103" customFormat="1" ht="25.5">
      <c r="A482" s="97" t="s">
        <v>1472</v>
      </c>
      <c r="B482" s="97" t="s">
        <v>1150</v>
      </c>
      <c r="C482" s="97" t="s">
        <v>1158</v>
      </c>
      <c r="D482" s="97"/>
      <c r="E482" s="109" t="s">
        <v>1159</v>
      </c>
      <c r="F482" s="108" t="s">
        <v>846</v>
      </c>
      <c r="G482" s="108">
        <v>9.5</v>
      </c>
      <c r="H482" s="108"/>
      <c r="I482" s="100"/>
      <c r="J482" s="101"/>
      <c r="K482" s="126">
        <f>G482*H482</f>
        <v>0</v>
      </c>
      <c r="L482" s="102"/>
      <c r="M482" s="166">
        <v>0.032965</v>
      </c>
      <c r="N482" s="99"/>
    </row>
    <row r="483" spans="1:14" s="103" customFormat="1" ht="12.75">
      <c r="A483" s="97"/>
      <c r="B483" s="97"/>
      <c r="C483" s="97" t="s">
        <v>1680</v>
      </c>
      <c r="D483" s="97"/>
      <c r="E483" s="109" t="s">
        <v>1681</v>
      </c>
      <c r="F483" s="108" t="s">
        <v>1155</v>
      </c>
      <c r="G483" s="108" t="s">
        <v>7</v>
      </c>
      <c r="H483" s="108"/>
      <c r="I483" s="100"/>
      <c r="J483" s="101"/>
      <c r="K483" s="126">
        <f>G483*H483</f>
        <v>0</v>
      </c>
      <c r="L483" s="102"/>
      <c r="M483" s="166"/>
      <c r="N483" s="99"/>
    </row>
    <row r="484" spans="1:14" s="103" customFormat="1" ht="25.5">
      <c r="A484" s="97" t="s">
        <v>1473</v>
      </c>
      <c r="B484" s="97" t="s">
        <v>1150</v>
      </c>
      <c r="C484" s="97" t="s">
        <v>1160</v>
      </c>
      <c r="D484" s="97"/>
      <c r="E484" s="109" t="s">
        <v>1647</v>
      </c>
      <c r="F484" s="108" t="s">
        <v>1155</v>
      </c>
      <c r="G484" s="108">
        <v>1</v>
      </c>
      <c r="H484" s="108"/>
      <c r="I484" s="100"/>
      <c r="J484" s="101"/>
      <c r="K484" s="126">
        <f>G484*H484</f>
        <v>0</v>
      </c>
      <c r="L484" s="102"/>
      <c r="M484" s="166">
        <v>0</v>
      </c>
      <c r="N484" s="99"/>
    </row>
    <row r="485" spans="1:14" s="103" customFormat="1" ht="12.75">
      <c r="A485" s="97" t="s">
        <v>1474</v>
      </c>
      <c r="B485" s="97" t="s">
        <v>1150</v>
      </c>
      <c r="C485" s="97" t="s">
        <v>1161</v>
      </c>
      <c r="D485" s="97"/>
      <c r="E485" s="109" t="s">
        <v>1162</v>
      </c>
      <c r="F485" s="108" t="s">
        <v>846</v>
      </c>
      <c r="G485" s="108">
        <v>2</v>
      </c>
      <c r="H485" s="108"/>
      <c r="I485" s="100"/>
      <c r="J485" s="101"/>
      <c r="K485" s="126">
        <f>G485*H485</f>
        <v>0</v>
      </c>
      <c r="L485" s="102"/>
      <c r="M485" s="166">
        <v>0</v>
      </c>
      <c r="N485" s="99"/>
    </row>
    <row r="486" spans="1:14" s="125" customFormat="1" ht="12.75">
      <c r="A486" s="111"/>
      <c r="B486" s="111" t="s">
        <v>1150</v>
      </c>
      <c r="C486" s="111" t="s">
        <v>1163</v>
      </c>
      <c r="D486" s="111"/>
      <c r="E486" s="121" t="s">
        <v>1164</v>
      </c>
      <c r="F486" s="114"/>
      <c r="G486" s="122"/>
      <c r="H486" s="122"/>
      <c r="I486" s="123"/>
      <c r="J486" s="116"/>
      <c r="K486" s="131">
        <f>SUM(K487:K494)</f>
        <v>0</v>
      </c>
      <c r="L486" s="117"/>
      <c r="M486" s="165">
        <v>0</v>
      </c>
      <c r="N486" s="124"/>
    </row>
    <row r="487" spans="1:14" s="103" customFormat="1" ht="12.75" customHeight="1">
      <c r="A487" s="4" t="s">
        <v>1475</v>
      </c>
      <c r="B487" s="12" t="s">
        <v>1150</v>
      </c>
      <c r="C487" s="53" t="s">
        <v>451</v>
      </c>
      <c r="D487" s="141"/>
      <c r="E487" s="141" t="s">
        <v>735</v>
      </c>
      <c r="F487" s="62" t="s">
        <v>851</v>
      </c>
      <c r="G487" s="104">
        <v>0.3</v>
      </c>
      <c r="H487" s="104"/>
      <c r="I487" s="16"/>
      <c r="J487" s="16"/>
      <c r="K487" s="126">
        <f>G487*H487</f>
        <v>0</v>
      </c>
      <c r="L487" s="16"/>
      <c r="M487" s="34">
        <f>G487*L487</f>
        <v>0</v>
      </c>
      <c r="N487" s="99"/>
    </row>
    <row r="488" spans="1:14" s="140" customFormat="1" ht="12.75" customHeight="1">
      <c r="A488" s="4" t="s">
        <v>1476</v>
      </c>
      <c r="B488" s="12" t="s">
        <v>1150</v>
      </c>
      <c r="C488" s="53" t="s">
        <v>452</v>
      </c>
      <c r="D488" s="53"/>
      <c r="E488" s="53" t="s">
        <v>736</v>
      </c>
      <c r="F488" s="62" t="s">
        <v>851</v>
      </c>
      <c r="G488" s="104">
        <f>G487*10</f>
        <v>3</v>
      </c>
      <c r="H488" s="104"/>
      <c r="I488" s="16"/>
      <c r="J488" s="16"/>
      <c r="K488" s="126">
        <f>G488*H488</f>
        <v>0</v>
      </c>
      <c r="L488" s="16"/>
      <c r="M488" s="34">
        <f>G488*L488</f>
        <v>0</v>
      </c>
      <c r="N488" s="139"/>
    </row>
    <row r="489" spans="1:14" s="103" customFormat="1" ht="12.75">
      <c r="A489" s="4" t="s">
        <v>1477</v>
      </c>
      <c r="B489" s="12" t="s">
        <v>1150</v>
      </c>
      <c r="C489" s="53" t="s">
        <v>453</v>
      </c>
      <c r="D489" s="53"/>
      <c r="E489" s="53" t="s">
        <v>737</v>
      </c>
      <c r="F489" s="62" t="s">
        <v>851</v>
      </c>
      <c r="G489" s="104">
        <f>G487</f>
        <v>0.3</v>
      </c>
      <c r="H489" s="104"/>
      <c r="I489" s="16"/>
      <c r="J489" s="16"/>
      <c r="K489" s="126">
        <f>G489*H489</f>
        <v>0</v>
      </c>
      <c r="L489" s="16"/>
      <c r="M489" s="34">
        <f>G489*L489</f>
        <v>0</v>
      </c>
      <c r="N489" s="99"/>
    </row>
    <row r="490" spans="1:14" s="103" customFormat="1" ht="12.75">
      <c r="A490" s="4" t="s">
        <v>1478</v>
      </c>
      <c r="B490" s="12" t="s">
        <v>1150</v>
      </c>
      <c r="C490" s="53" t="s">
        <v>454</v>
      </c>
      <c r="D490" s="53"/>
      <c r="E490" s="53" t="s">
        <v>738</v>
      </c>
      <c r="F490" s="62" t="s">
        <v>851</v>
      </c>
      <c r="G490" s="104">
        <f>G489*1.5</f>
        <v>0.44999999999999996</v>
      </c>
      <c r="H490" s="104"/>
      <c r="I490" s="16"/>
      <c r="J490" s="16"/>
      <c r="K490" s="126">
        <f>G490*H490</f>
        <v>0</v>
      </c>
      <c r="L490" s="16"/>
      <c r="M490" s="34">
        <f>G490*L490</f>
        <v>0</v>
      </c>
      <c r="N490" s="99"/>
    </row>
    <row r="491" spans="1:14" s="103" customFormat="1" ht="12.75">
      <c r="A491" s="4" t="s">
        <v>1479</v>
      </c>
      <c r="B491" s="12" t="s">
        <v>1150</v>
      </c>
      <c r="C491" s="53" t="s">
        <v>455</v>
      </c>
      <c r="D491" s="53"/>
      <c r="E491" s="53" t="s">
        <v>739</v>
      </c>
      <c r="F491" s="62" t="s">
        <v>851</v>
      </c>
      <c r="G491" s="104">
        <v>4.1</v>
      </c>
      <c r="H491" s="104"/>
      <c r="I491" s="16"/>
      <c r="J491" s="16"/>
      <c r="K491" s="126">
        <f>G491*H491</f>
        <v>0</v>
      </c>
      <c r="L491" s="16"/>
      <c r="M491" s="34">
        <f>G491*L491</f>
        <v>0</v>
      </c>
      <c r="N491" s="99"/>
    </row>
    <row r="492" spans="1:14" s="103" customFormat="1" ht="12.75">
      <c r="A492" s="4"/>
      <c r="B492" s="12"/>
      <c r="C492" s="59" t="s">
        <v>991</v>
      </c>
      <c r="D492" s="142"/>
      <c r="E492" s="142" t="s">
        <v>1698</v>
      </c>
      <c r="F492" s="62"/>
      <c r="G492" s="104"/>
      <c r="H492" s="104"/>
      <c r="I492" s="16"/>
      <c r="J492" s="16"/>
      <c r="K492" s="126"/>
      <c r="L492" s="16"/>
      <c r="M492" s="34"/>
      <c r="N492" s="99"/>
    </row>
    <row r="493" spans="1:14" s="103" customFormat="1" ht="12.75">
      <c r="A493" s="4" t="s">
        <v>1480</v>
      </c>
      <c r="B493" s="12" t="s">
        <v>1150</v>
      </c>
      <c r="C493" s="53" t="s">
        <v>456</v>
      </c>
      <c r="D493" s="53"/>
      <c r="E493" s="53" t="s">
        <v>740</v>
      </c>
      <c r="F493" s="62" t="s">
        <v>851</v>
      </c>
      <c r="G493" s="104">
        <f>G491+G487</f>
        <v>4.3999999999999995</v>
      </c>
      <c r="H493" s="104"/>
      <c r="I493" s="16"/>
      <c r="J493" s="16"/>
      <c r="K493" s="126">
        <f>G493*H493</f>
        <v>0</v>
      </c>
      <c r="L493" s="16"/>
      <c r="M493" s="34">
        <f>G493*L493</f>
        <v>0</v>
      </c>
      <c r="N493" s="99"/>
    </row>
    <row r="494" spans="1:14" s="119" customFormat="1" ht="12.75">
      <c r="A494" s="4" t="s">
        <v>1481</v>
      </c>
      <c r="B494" s="12" t="s">
        <v>1150</v>
      </c>
      <c r="C494" s="53" t="s">
        <v>460</v>
      </c>
      <c r="D494" s="53"/>
      <c r="E494" s="53" t="s">
        <v>744</v>
      </c>
      <c r="F494" s="62" t="s">
        <v>851</v>
      </c>
      <c r="G494" s="104">
        <f>G487</f>
        <v>0.3</v>
      </c>
      <c r="H494" s="104"/>
      <c r="I494" s="16"/>
      <c r="J494" s="16"/>
      <c r="K494" s="126">
        <f>G494*H494</f>
        <v>0</v>
      </c>
      <c r="L494" s="16"/>
      <c r="M494" s="34">
        <f>G494*L494</f>
        <v>0</v>
      </c>
      <c r="N494" s="118"/>
    </row>
    <row r="495" spans="1:14" s="125" customFormat="1" ht="12.75">
      <c r="A495" s="111"/>
      <c r="B495" s="111" t="s">
        <v>1150</v>
      </c>
      <c r="C495" s="111" t="s">
        <v>338</v>
      </c>
      <c r="D495" s="111"/>
      <c r="E495" s="121" t="s">
        <v>1165</v>
      </c>
      <c r="F495" s="122"/>
      <c r="G495" s="122"/>
      <c r="H495" s="122"/>
      <c r="I495" s="123"/>
      <c r="J495" s="116"/>
      <c r="K495" s="131">
        <f>SUM(K496:K505)</f>
        <v>0</v>
      </c>
      <c r="L495" s="117"/>
      <c r="M495" s="165">
        <v>0.06538</v>
      </c>
      <c r="N495" s="124"/>
    </row>
    <row r="496" spans="1:14" s="103" customFormat="1" ht="12.75">
      <c r="A496" s="97" t="s">
        <v>1482</v>
      </c>
      <c r="B496" s="97" t="s">
        <v>1150</v>
      </c>
      <c r="C496" s="97" t="s">
        <v>1166</v>
      </c>
      <c r="D496" s="97"/>
      <c r="E496" s="109" t="s">
        <v>1167</v>
      </c>
      <c r="F496" s="108" t="s">
        <v>847</v>
      </c>
      <c r="G496" s="108">
        <v>6</v>
      </c>
      <c r="H496" s="108"/>
      <c r="I496" s="100"/>
      <c r="J496" s="101"/>
      <c r="K496" s="126">
        <f>G496*H496</f>
        <v>0</v>
      </c>
      <c r="L496" s="102"/>
      <c r="M496" s="166">
        <v>0.00108</v>
      </c>
      <c r="N496" s="99"/>
    </row>
    <row r="497" spans="1:14" s="103" customFormat="1" ht="12.75">
      <c r="A497" s="97" t="s">
        <v>1483</v>
      </c>
      <c r="B497" s="97" t="s">
        <v>1150</v>
      </c>
      <c r="C497" s="97" t="s">
        <v>1168</v>
      </c>
      <c r="D497" s="97"/>
      <c r="E497" s="109" t="s">
        <v>1659</v>
      </c>
      <c r="F497" s="108" t="s">
        <v>847</v>
      </c>
      <c r="G497" s="108" t="s">
        <v>1662</v>
      </c>
      <c r="H497" s="108"/>
      <c r="I497" s="100"/>
      <c r="J497" s="101"/>
      <c r="K497" s="126">
        <f aca="true" t="shared" si="178" ref="K497:K505">G497*H497</f>
        <v>0</v>
      </c>
      <c r="L497" s="102"/>
      <c r="M497" s="166">
        <v>0.0114</v>
      </c>
      <c r="N497" s="99"/>
    </row>
    <row r="498" spans="1:14" s="103" customFormat="1" ht="12.75">
      <c r="A498" s="97" t="s">
        <v>1484</v>
      </c>
      <c r="B498" s="97" t="s">
        <v>1150</v>
      </c>
      <c r="C498" s="97" t="s">
        <v>1169</v>
      </c>
      <c r="D498" s="97"/>
      <c r="E498" s="109" t="s">
        <v>1661</v>
      </c>
      <c r="F498" s="108" t="s">
        <v>847</v>
      </c>
      <c r="G498" s="108" t="s">
        <v>24</v>
      </c>
      <c r="H498" s="108"/>
      <c r="I498" s="100"/>
      <c r="J498" s="101"/>
      <c r="K498" s="126">
        <f t="shared" si="178"/>
        <v>0</v>
      </c>
      <c r="L498" s="102"/>
      <c r="M498" s="166">
        <v>0.0044</v>
      </c>
      <c r="N498" s="99"/>
    </row>
    <row r="499" spans="1:14" s="103" customFormat="1" ht="12.75">
      <c r="A499" s="97" t="s">
        <v>1485</v>
      </c>
      <c r="B499" s="97" t="s">
        <v>1150</v>
      </c>
      <c r="C499" s="97" t="s">
        <v>1170</v>
      </c>
      <c r="D499" s="97"/>
      <c r="E499" s="109" t="s">
        <v>1660</v>
      </c>
      <c r="F499" s="108" t="s">
        <v>847</v>
      </c>
      <c r="G499" s="108" t="s">
        <v>26</v>
      </c>
      <c r="H499" s="108"/>
      <c r="I499" s="100"/>
      <c r="J499" s="101"/>
      <c r="K499" s="126">
        <f t="shared" si="178"/>
        <v>0</v>
      </c>
      <c r="L499" s="102"/>
      <c r="M499" s="166">
        <v>0.0468</v>
      </c>
      <c r="N499" s="99"/>
    </row>
    <row r="500" spans="1:14" s="103" customFormat="1" ht="12.75">
      <c r="A500" s="97" t="s">
        <v>1486</v>
      </c>
      <c r="B500" s="97" t="s">
        <v>1150</v>
      </c>
      <c r="C500" s="97" t="s">
        <v>1648</v>
      </c>
      <c r="D500" s="97"/>
      <c r="E500" s="109" t="s">
        <v>1654</v>
      </c>
      <c r="F500" s="108" t="s">
        <v>846</v>
      </c>
      <c r="G500" s="108" t="s">
        <v>32</v>
      </c>
      <c r="H500" s="108"/>
      <c r="I500" s="100"/>
      <c r="J500" s="101"/>
      <c r="K500" s="126">
        <f t="shared" si="178"/>
        <v>0</v>
      </c>
      <c r="L500" s="102"/>
      <c r="M500" s="166">
        <v>0</v>
      </c>
      <c r="N500" s="99"/>
    </row>
    <row r="501" spans="1:14" s="103" customFormat="1" ht="12.75">
      <c r="A501" s="97" t="s">
        <v>1487</v>
      </c>
      <c r="B501" s="97" t="s">
        <v>1150</v>
      </c>
      <c r="C501" s="97" t="s">
        <v>1649</v>
      </c>
      <c r="D501" s="97"/>
      <c r="E501" s="109" t="s">
        <v>1655</v>
      </c>
      <c r="F501" s="108" t="s">
        <v>846</v>
      </c>
      <c r="G501" s="108" t="s">
        <v>37</v>
      </c>
      <c r="H501" s="108"/>
      <c r="I501" s="100"/>
      <c r="J501" s="101"/>
      <c r="K501" s="126">
        <f t="shared" si="178"/>
        <v>0</v>
      </c>
      <c r="L501" s="102"/>
      <c r="M501" s="166"/>
      <c r="N501" s="99"/>
    </row>
    <row r="502" spans="1:14" s="103" customFormat="1" ht="12.75">
      <c r="A502" s="97" t="s">
        <v>1488</v>
      </c>
      <c r="B502" s="97" t="s">
        <v>1150</v>
      </c>
      <c r="C502" s="97" t="s">
        <v>1650</v>
      </c>
      <c r="D502" s="97"/>
      <c r="E502" s="109" t="s">
        <v>1656</v>
      </c>
      <c r="F502" s="108" t="s">
        <v>846</v>
      </c>
      <c r="G502" s="108" t="s">
        <v>22</v>
      </c>
      <c r="H502" s="108"/>
      <c r="I502" s="100"/>
      <c r="J502" s="101"/>
      <c r="K502" s="126">
        <f t="shared" si="178"/>
        <v>0</v>
      </c>
      <c r="L502" s="102"/>
      <c r="M502" s="166"/>
      <c r="N502" s="99"/>
    </row>
    <row r="503" spans="1:14" s="103" customFormat="1" ht="12.75">
      <c r="A503" s="97" t="s">
        <v>1489</v>
      </c>
      <c r="B503" s="97" t="s">
        <v>1150</v>
      </c>
      <c r="C503" s="97" t="s">
        <v>1651</v>
      </c>
      <c r="D503" s="97"/>
      <c r="E503" s="109" t="s">
        <v>1657</v>
      </c>
      <c r="F503" s="108" t="s">
        <v>846</v>
      </c>
      <c r="G503" s="108" t="s">
        <v>14</v>
      </c>
      <c r="H503" s="108"/>
      <c r="I503" s="100"/>
      <c r="J503" s="101"/>
      <c r="K503" s="126">
        <f t="shared" si="178"/>
        <v>0</v>
      </c>
      <c r="L503" s="102"/>
      <c r="M503" s="166"/>
      <c r="N503" s="99"/>
    </row>
    <row r="504" spans="1:63" s="146" customFormat="1" ht="12.75">
      <c r="A504" s="97"/>
      <c r="B504" s="145"/>
      <c r="C504" s="59" t="s">
        <v>991</v>
      </c>
      <c r="D504" s="142"/>
      <c r="E504" s="142" t="s">
        <v>1663</v>
      </c>
      <c r="F504" s="142"/>
      <c r="G504" s="142"/>
      <c r="H504" s="142"/>
      <c r="I504" s="142"/>
      <c r="J504" s="142"/>
      <c r="K504" s="126"/>
      <c r="L504" s="142"/>
      <c r="M504" s="167"/>
      <c r="N504" s="152"/>
      <c r="Y504" s="147"/>
      <c r="AA504" s="147"/>
      <c r="AB504" s="147"/>
      <c r="AC504" s="147"/>
      <c r="AD504" s="147"/>
      <c r="AE504" s="147"/>
      <c r="AF504" s="147"/>
      <c r="AG504" s="147"/>
      <c r="AH504" s="148"/>
      <c r="AI504" s="149"/>
      <c r="AJ504" s="149"/>
      <c r="AK504" s="149"/>
      <c r="AM504" s="147"/>
      <c r="AN504" s="147"/>
      <c r="AO504" s="147"/>
      <c r="AP504" s="150"/>
      <c r="AU504" s="147"/>
      <c r="AV504" s="147"/>
      <c r="AW504" s="147"/>
      <c r="AX504" s="151"/>
      <c r="AY504" s="151"/>
      <c r="AZ504" s="148"/>
      <c r="BB504" s="147"/>
      <c r="BC504" s="147"/>
      <c r="BD504" s="147"/>
      <c r="BE504" s="147"/>
      <c r="BG504" s="149"/>
      <c r="BH504" s="149"/>
      <c r="BI504" s="149"/>
      <c r="BJ504" s="149"/>
      <c r="BK504" s="147"/>
    </row>
    <row r="505" spans="1:63" ht="12.75">
      <c r="A505" s="97" t="s">
        <v>1490</v>
      </c>
      <c r="B505" s="13" t="s">
        <v>1150</v>
      </c>
      <c r="C505" s="97" t="s">
        <v>1653</v>
      </c>
      <c r="D505" s="143"/>
      <c r="E505" s="153" t="s">
        <v>1658</v>
      </c>
      <c r="F505" s="144" t="s">
        <v>846</v>
      </c>
      <c r="G505" s="135">
        <f>G500+G501+G502+G503</f>
        <v>81</v>
      </c>
      <c r="H505" s="144"/>
      <c r="I505" s="143"/>
      <c r="J505" s="143"/>
      <c r="K505" s="126">
        <f t="shared" si="178"/>
        <v>0</v>
      </c>
      <c r="L505" s="143"/>
      <c r="M505" s="168"/>
      <c r="N505" s="98"/>
      <c r="Y505" s="26"/>
      <c r="AA505" s="26"/>
      <c r="AB505" s="26"/>
      <c r="AC505" s="26"/>
      <c r="AD505" s="26"/>
      <c r="AE505" s="26"/>
      <c r="AF505" s="26"/>
      <c r="AG505" s="26"/>
      <c r="AH505" s="24"/>
      <c r="AI505" s="17"/>
      <c r="AJ505" s="17"/>
      <c r="AK505" s="17"/>
      <c r="AM505" s="26"/>
      <c r="AN505" s="26"/>
      <c r="AO505" s="26"/>
      <c r="AP505" s="28"/>
      <c r="AU505" s="26"/>
      <c r="AV505" s="26"/>
      <c r="AW505" s="26"/>
      <c r="AX505" s="29"/>
      <c r="AY505" s="29"/>
      <c r="AZ505" s="24"/>
      <c r="BB505" s="26"/>
      <c r="BC505" s="26"/>
      <c r="BD505" s="26"/>
      <c r="BE505" s="26"/>
      <c r="BG505" s="17"/>
      <c r="BH505" s="17"/>
      <c r="BI505" s="17"/>
      <c r="BJ505" s="17"/>
      <c r="BK505" s="26"/>
    </row>
    <row r="506" spans="1:14" s="119" customFormat="1" ht="12.75">
      <c r="A506" s="110"/>
      <c r="B506" s="110"/>
      <c r="C506" s="110" t="s">
        <v>1171</v>
      </c>
      <c r="D506" s="110"/>
      <c r="E506" s="121" t="s">
        <v>1172</v>
      </c>
      <c r="F506" s="114"/>
      <c r="G506" s="114"/>
      <c r="H506" s="114"/>
      <c r="I506" s="115"/>
      <c r="J506" s="116"/>
      <c r="K506" s="131">
        <f>SUM(K507:K511)</f>
        <v>0</v>
      </c>
      <c r="L506" s="117"/>
      <c r="M506" s="165">
        <v>0.50705</v>
      </c>
      <c r="N506" s="118"/>
    </row>
    <row r="507" spans="1:14" s="103" customFormat="1" ht="12.75">
      <c r="A507" s="97" t="s">
        <v>1491</v>
      </c>
      <c r="B507" s="97" t="s">
        <v>1150</v>
      </c>
      <c r="C507" s="97" t="s">
        <v>1173</v>
      </c>
      <c r="D507" s="97"/>
      <c r="E507" s="109" t="s">
        <v>1174</v>
      </c>
      <c r="F507" s="108" t="s">
        <v>850</v>
      </c>
      <c r="G507" s="108">
        <v>1</v>
      </c>
      <c r="H507" s="108"/>
      <c r="I507" s="100"/>
      <c r="J507" s="101"/>
      <c r="K507" s="126">
        <f>G507*H507</f>
        <v>0</v>
      </c>
      <c r="L507" s="102"/>
      <c r="M507" s="166">
        <v>0.00054</v>
      </c>
      <c r="N507" s="99"/>
    </row>
    <row r="508" spans="1:14" s="103" customFormat="1" ht="25.5">
      <c r="A508" s="97" t="s">
        <v>1492</v>
      </c>
      <c r="B508" s="97" t="s">
        <v>1150</v>
      </c>
      <c r="C508" s="97" t="s">
        <v>1175</v>
      </c>
      <c r="D508" s="97"/>
      <c r="E508" s="109" t="s">
        <v>1176</v>
      </c>
      <c r="F508" s="108" t="s">
        <v>1155</v>
      </c>
      <c r="G508" s="108">
        <v>1</v>
      </c>
      <c r="H508" s="108"/>
      <c r="I508" s="100"/>
      <c r="J508" s="101"/>
      <c r="K508" s="126">
        <f>G508*H508</f>
        <v>0</v>
      </c>
      <c r="L508" s="102"/>
      <c r="M508" s="166">
        <v>0.00851</v>
      </c>
      <c r="N508" s="99"/>
    </row>
    <row r="509" spans="1:14" s="103" customFormat="1" ht="38.25">
      <c r="A509" s="97" t="s">
        <v>1493</v>
      </c>
      <c r="B509" s="97" t="s">
        <v>1150</v>
      </c>
      <c r="C509" s="97" t="s">
        <v>1177</v>
      </c>
      <c r="D509" s="97"/>
      <c r="E509" s="109" t="s">
        <v>1664</v>
      </c>
      <c r="F509" s="108" t="s">
        <v>1155</v>
      </c>
      <c r="G509" s="108">
        <v>1</v>
      </c>
      <c r="H509" s="108"/>
      <c r="I509" s="100"/>
      <c r="J509" s="101"/>
      <c r="K509" s="126">
        <f>G509*H509</f>
        <v>0</v>
      </c>
      <c r="L509" s="102"/>
      <c r="M509" s="166">
        <v>0.498</v>
      </c>
      <c r="N509" s="99"/>
    </row>
    <row r="510" spans="1:63" s="146" customFormat="1" ht="12.75">
      <c r="A510" s="97"/>
      <c r="B510" s="145"/>
      <c r="C510" s="59" t="s">
        <v>991</v>
      </c>
      <c r="D510" s="142"/>
      <c r="E510" s="142" t="s">
        <v>1666</v>
      </c>
      <c r="F510" s="142"/>
      <c r="G510" s="142"/>
      <c r="H510" s="142"/>
      <c r="I510" s="142"/>
      <c r="J510" s="142"/>
      <c r="K510" s="126"/>
      <c r="L510" s="142"/>
      <c r="M510" s="167"/>
      <c r="N510" s="152"/>
      <c r="Y510" s="147"/>
      <c r="AA510" s="147"/>
      <c r="AB510" s="147"/>
      <c r="AC510" s="147"/>
      <c r="AD510" s="147"/>
      <c r="AE510" s="147"/>
      <c r="AF510" s="147"/>
      <c r="AG510" s="147"/>
      <c r="AH510" s="148"/>
      <c r="AI510" s="149"/>
      <c r="AJ510" s="149"/>
      <c r="AK510" s="149"/>
      <c r="AM510" s="147"/>
      <c r="AN510" s="147"/>
      <c r="AO510" s="147"/>
      <c r="AP510" s="150"/>
      <c r="AU510" s="147"/>
      <c r="AV510" s="147"/>
      <c r="AW510" s="147"/>
      <c r="AX510" s="151"/>
      <c r="AY510" s="151"/>
      <c r="AZ510" s="148"/>
      <c r="BB510" s="147"/>
      <c r="BC510" s="147"/>
      <c r="BD510" s="147"/>
      <c r="BE510" s="147"/>
      <c r="BG510" s="149"/>
      <c r="BH510" s="149"/>
      <c r="BI510" s="149"/>
      <c r="BJ510" s="149"/>
      <c r="BK510" s="147"/>
    </row>
    <row r="511" spans="1:14" s="103" customFormat="1" ht="12" customHeight="1">
      <c r="A511" s="97" t="s">
        <v>1494</v>
      </c>
      <c r="B511" s="97" t="s">
        <v>1150</v>
      </c>
      <c r="C511" s="97" t="s">
        <v>1178</v>
      </c>
      <c r="D511" s="97"/>
      <c r="E511" s="109" t="s">
        <v>1179</v>
      </c>
      <c r="F511" s="108" t="s">
        <v>850</v>
      </c>
      <c r="G511" s="108">
        <v>1</v>
      </c>
      <c r="H511" s="108"/>
      <c r="I511" s="100"/>
      <c r="J511" s="101"/>
      <c r="K511" s="126">
        <f>G511*H511</f>
        <v>0</v>
      </c>
      <c r="L511" s="102"/>
      <c r="M511" s="166">
        <v>0</v>
      </c>
      <c r="N511" s="99"/>
    </row>
    <row r="512" spans="1:14" s="119" customFormat="1" ht="12.75">
      <c r="A512" s="110"/>
      <c r="B512" s="110" t="s">
        <v>1150</v>
      </c>
      <c r="C512" s="110" t="s">
        <v>1180</v>
      </c>
      <c r="D512" s="110"/>
      <c r="E512" s="121" t="s">
        <v>1181</v>
      </c>
      <c r="F512" s="114"/>
      <c r="G512" s="114"/>
      <c r="H512" s="114"/>
      <c r="I512" s="115"/>
      <c r="J512" s="116"/>
      <c r="K512" s="131">
        <f>SUM(K513:K534)</f>
        <v>0</v>
      </c>
      <c r="L512" s="117"/>
      <c r="M512" s="165">
        <v>0.26141</v>
      </c>
      <c r="N512" s="118"/>
    </row>
    <row r="513" spans="1:14" s="103" customFormat="1" ht="12.75">
      <c r="A513" s="97" t="s">
        <v>1495</v>
      </c>
      <c r="B513" s="97" t="s">
        <v>1150</v>
      </c>
      <c r="C513" s="97" t="s">
        <v>1182</v>
      </c>
      <c r="D513" s="97"/>
      <c r="E513" s="109" t="s">
        <v>1183</v>
      </c>
      <c r="F513" s="108" t="s">
        <v>846</v>
      </c>
      <c r="G513" s="108">
        <v>3</v>
      </c>
      <c r="H513" s="108"/>
      <c r="I513" s="100"/>
      <c r="J513" s="101"/>
      <c r="K513" s="126">
        <f>G513*H513</f>
        <v>0</v>
      </c>
      <c r="L513" s="102"/>
      <c r="M513" s="166">
        <v>0</v>
      </c>
      <c r="N513" s="99"/>
    </row>
    <row r="514" spans="1:14" s="103" customFormat="1" ht="12.75">
      <c r="A514" s="97" t="s">
        <v>1496</v>
      </c>
      <c r="B514" s="97" t="s">
        <v>1150</v>
      </c>
      <c r="C514" s="97" t="s">
        <v>1184</v>
      </c>
      <c r="D514" s="97"/>
      <c r="E514" s="109" t="s">
        <v>1185</v>
      </c>
      <c r="F514" s="108" t="s">
        <v>850</v>
      </c>
      <c r="G514" s="108">
        <v>1</v>
      </c>
      <c r="H514" s="108"/>
      <c r="I514" s="100"/>
      <c r="J514" s="101"/>
      <c r="K514" s="126">
        <f aca="true" t="shared" si="179" ref="K514:K534">G514*H514</f>
        <v>0</v>
      </c>
      <c r="L514" s="102"/>
      <c r="M514" s="166">
        <v>0.03181</v>
      </c>
      <c r="N514" s="99"/>
    </row>
    <row r="515" spans="1:14" s="103" customFormat="1" ht="12.75">
      <c r="A515" s="97" t="s">
        <v>1497</v>
      </c>
      <c r="B515" s="97" t="s">
        <v>1150</v>
      </c>
      <c r="C515" s="97" t="s">
        <v>1186</v>
      </c>
      <c r="D515" s="97"/>
      <c r="E515" s="109" t="s">
        <v>1187</v>
      </c>
      <c r="F515" s="108" t="s">
        <v>850</v>
      </c>
      <c r="G515" s="108">
        <v>4</v>
      </c>
      <c r="H515" s="108"/>
      <c r="I515" s="100"/>
      <c r="J515" s="101"/>
      <c r="K515" s="126">
        <f t="shared" si="179"/>
        <v>0</v>
      </c>
      <c r="L515" s="102"/>
      <c r="M515" s="166">
        <v>0.00236</v>
      </c>
      <c r="N515" s="99"/>
    </row>
    <row r="516" spans="1:14" s="103" customFormat="1" ht="12.75">
      <c r="A516" s="97" t="s">
        <v>1498</v>
      </c>
      <c r="B516" s="97" t="s">
        <v>1150</v>
      </c>
      <c r="C516" s="97" t="s">
        <v>1188</v>
      </c>
      <c r="D516" s="97"/>
      <c r="E516" s="109" t="s">
        <v>1189</v>
      </c>
      <c r="F516" s="108" t="s">
        <v>850</v>
      </c>
      <c r="G516" s="108">
        <v>4</v>
      </c>
      <c r="H516" s="108"/>
      <c r="I516" s="100"/>
      <c r="J516" s="101"/>
      <c r="K516" s="126">
        <f t="shared" si="179"/>
        <v>0</v>
      </c>
      <c r="L516" s="102"/>
      <c r="M516" s="166">
        <v>0.00268</v>
      </c>
      <c r="N516" s="99"/>
    </row>
    <row r="517" spans="1:14" s="103" customFormat="1" ht="12.75">
      <c r="A517" s="97" t="s">
        <v>1499</v>
      </c>
      <c r="B517" s="97" t="s">
        <v>1150</v>
      </c>
      <c r="C517" s="97" t="s">
        <v>1190</v>
      </c>
      <c r="D517" s="97"/>
      <c r="E517" s="109" t="s">
        <v>1191</v>
      </c>
      <c r="F517" s="108" t="s">
        <v>850</v>
      </c>
      <c r="G517" s="108">
        <v>4</v>
      </c>
      <c r="H517" s="108"/>
      <c r="I517" s="100"/>
      <c r="J517" s="101"/>
      <c r="K517" s="126">
        <f t="shared" si="179"/>
        <v>0</v>
      </c>
      <c r="L517" s="102"/>
      <c r="M517" s="166">
        <v>0.00552</v>
      </c>
      <c r="N517" s="99"/>
    </row>
    <row r="518" spans="1:14" s="103" customFormat="1" ht="12.75">
      <c r="A518" s="97" t="s">
        <v>1500</v>
      </c>
      <c r="B518" s="97" t="s">
        <v>1150</v>
      </c>
      <c r="C518" s="97" t="s">
        <v>1192</v>
      </c>
      <c r="D518" s="97"/>
      <c r="E518" s="109" t="s">
        <v>1193</v>
      </c>
      <c r="F518" s="108" t="s">
        <v>1155</v>
      </c>
      <c r="G518" s="108">
        <v>6</v>
      </c>
      <c r="H518" s="108"/>
      <c r="I518" s="100"/>
      <c r="J518" s="101"/>
      <c r="K518" s="126">
        <f t="shared" si="179"/>
        <v>0</v>
      </c>
      <c r="L518" s="102"/>
      <c r="M518" s="166">
        <v>0.00678</v>
      </c>
      <c r="N518" s="99"/>
    </row>
    <row r="519" spans="1:14" s="103" customFormat="1" ht="12.75">
      <c r="A519" s="97" t="s">
        <v>1501</v>
      </c>
      <c r="B519" s="97" t="s">
        <v>1150</v>
      </c>
      <c r="C519" s="97" t="s">
        <v>1194</v>
      </c>
      <c r="D519" s="97"/>
      <c r="E519" s="109" t="s">
        <v>1195</v>
      </c>
      <c r="F519" s="108" t="s">
        <v>1155</v>
      </c>
      <c r="G519" s="108">
        <v>1</v>
      </c>
      <c r="H519" s="108"/>
      <c r="I519" s="100"/>
      <c r="J519" s="101"/>
      <c r="K519" s="126">
        <f t="shared" si="179"/>
        <v>0</v>
      </c>
      <c r="L519" s="102"/>
      <c r="M519" s="166">
        <v>0.15574</v>
      </c>
      <c r="N519" s="99"/>
    </row>
    <row r="520" spans="1:63" s="146" customFormat="1" ht="12.75">
      <c r="A520" s="97"/>
      <c r="B520" s="145"/>
      <c r="C520" s="59" t="s">
        <v>991</v>
      </c>
      <c r="D520" s="142"/>
      <c r="E520" s="142" t="s">
        <v>1665</v>
      </c>
      <c r="F520" s="142"/>
      <c r="G520" s="142"/>
      <c r="H520" s="142"/>
      <c r="I520" s="142"/>
      <c r="J520" s="142"/>
      <c r="K520" s="126">
        <f t="shared" si="179"/>
        <v>0</v>
      </c>
      <c r="L520" s="142"/>
      <c r="M520" s="167"/>
      <c r="N520" s="152"/>
      <c r="Y520" s="147"/>
      <c r="AA520" s="147"/>
      <c r="AB520" s="147"/>
      <c r="AC520" s="147"/>
      <c r="AD520" s="147"/>
      <c r="AE520" s="147"/>
      <c r="AF520" s="147"/>
      <c r="AG520" s="147"/>
      <c r="AH520" s="148"/>
      <c r="AI520" s="149"/>
      <c r="AJ520" s="149"/>
      <c r="AK520" s="149"/>
      <c r="AM520" s="147"/>
      <c r="AN520" s="147"/>
      <c r="AO520" s="147"/>
      <c r="AP520" s="150"/>
      <c r="AU520" s="147"/>
      <c r="AV520" s="147"/>
      <c r="AW520" s="147"/>
      <c r="AX520" s="151"/>
      <c r="AY520" s="151"/>
      <c r="AZ520" s="148"/>
      <c r="BB520" s="147"/>
      <c r="BC520" s="147"/>
      <c r="BD520" s="147"/>
      <c r="BE520" s="147"/>
      <c r="BG520" s="149"/>
      <c r="BH520" s="149"/>
      <c r="BI520" s="149"/>
      <c r="BJ520" s="149"/>
      <c r="BK520" s="147"/>
    </row>
    <row r="521" spans="1:14" s="103" customFormat="1" ht="12.75">
      <c r="A521" s="97" t="s">
        <v>1502</v>
      </c>
      <c r="B521" s="97" t="s">
        <v>1150</v>
      </c>
      <c r="C521" s="97" t="s">
        <v>1196</v>
      </c>
      <c r="D521" s="97"/>
      <c r="E521" s="109" t="s">
        <v>1197</v>
      </c>
      <c r="F521" s="108" t="s">
        <v>850</v>
      </c>
      <c r="G521" s="108">
        <v>1</v>
      </c>
      <c r="H521" s="108"/>
      <c r="I521" s="100"/>
      <c r="J521" s="101"/>
      <c r="K521" s="126">
        <f t="shared" si="179"/>
        <v>0</v>
      </c>
      <c r="L521" s="102"/>
      <c r="M521" s="166">
        <v>0</v>
      </c>
      <c r="N521" s="99"/>
    </row>
    <row r="522" spans="1:14" s="103" customFormat="1" ht="12.75">
      <c r="A522" s="97" t="s">
        <v>1503</v>
      </c>
      <c r="B522" s="97" t="s">
        <v>1150</v>
      </c>
      <c r="C522" s="97" t="s">
        <v>1198</v>
      </c>
      <c r="D522" s="97"/>
      <c r="E522" s="109" t="s">
        <v>1199</v>
      </c>
      <c r="F522" s="108" t="s">
        <v>850</v>
      </c>
      <c r="G522" s="108">
        <v>1</v>
      </c>
      <c r="H522" s="108"/>
      <c r="I522" s="100"/>
      <c r="J522" s="101"/>
      <c r="K522" s="126">
        <f t="shared" si="179"/>
        <v>0</v>
      </c>
      <c r="L522" s="102"/>
      <c r="M522" s="166">
        <v>0</v>
      </c>
      <c r="N522" s="99"/>
    </row>
    <row r="523" spans="1:14" s="103" customFormat="1" ht="12.75">
      <c r="A523" s="97" t="s">
        <v>1504</v>
      </c>
      <c r="B523" s="97" t="s">
        <v>1150</v>
      </c>
      <c r="C523" s="97" t="s">
        <v>1200</v>
      </c>
      <c r="D523" s="97"/>
      <c r="E523" s="109" t="s">
        <v>1201</v>
      </c>
      <c r="F523" s="108" t="s">
        <v>1155</v>
      </c>
      <c r="G523" s="108">
        <v>1</v>
      </c>
      <c r="H523" s="108"/>
      <c r="I523" s="100"/>
      <c r="J523" s="101"/>
      <c r="K523" s="126">
        <f t="shared" si="179"/>
        <v>0</v>
      </c>
      <c r="L523" s="102"/>
      <c r="M523" s="166">
        <v>0.03437</v>
      </c>
      <c r="N523" s="99"/>
    </row>
    <row r="524" spans="1:14" s="103" customFormat="1" ht="12.75">
      <c r="A524" s="97" t="s">
        <v>1505</v>
      </c>
      <c r="B524" s="97" t="s">
        <v>1150</v>
      </c>
      <c r="C524" s="97" t="s">
        <v>1202</v>
      </c>
      <c r="D524" s="97"/>
      <c r="E524" s="109" t="s">
        <v>1203</v>
      </c>
      <c r="F524" s="108" t="s">
        <v>850</v>
      </c>
      <c r="G524" s="108">
        <v>1</v>
      </c>
      <c r="H524" s="108"/>
      <c r="I524" s="100"/>
      <c r="J524" s="101"/>
      <c r="K524" s="126">
        <f t="shared" si="179"/>
        <v>0</v>
      </c>
      <c r="L524" s="102"/>
      <c r="M524" s="166">
        <v>0.00076</v>
      </c>
      <c r="N524" s="99"/>
    </row>
    <row r="525" spans="1:14" s="103" customFormat="1" ht="12.75">
      <c r="A525" s="97" t="s">
        <v>1506</v>
      </c>
      <c r="B525" s="97" t="s">
        <v>1150</v>
      </c>
      <c r="C525" s="97" t="s">
        <v>1204</v>
      </c>
      <c r="D525" s="97"/>
      <c r="E525" s="109" t="s">
        <v>1205</v>
      </c>
      <c r="F525" s="108" t="s">
        <v>850</v>
      </c>
      <c r="G525" s="108">
        <v>1</v>
      </c>
      <c r="H525" s="108"/>
      <c r="I525" s="100"/>
      <c r="J525" s="101"/>
      <c r="K525" s="126">
        <f t="shared" si="179"/>
        <v>0</v>
      </c>
      <c r="L525" s="102"/>
      <c r="M525" s="166">
        <v>0</v>
      </c>
      <c r="N525" s="99"/>
    </row>
    <row r="526" spans="1:14" s="103" customFormat="1" ht="12.75">
      <c r="A526" s="97" t="s">
        <v>1507</v>
      </c>
      <c r="B526" s="97" t="s">
        <v>1150</v>
      </c>
      <c r="C526" s="97" t="s">
        <v>1206</v>
      </c>
      <c r="D526" s="97"/>
      <c r="E526" s="109" t="s">
        <v>1207</v>
      </c>
      <c r="F526" s="108" t="s">
        <v>850</v>
      </c>
      <c r="G526" s="108">
        <v>2</v>
      </c>
      <c r="H526" s="108"/>
      <c r="I526" s="100"/>
      <c r="J526" s="101"/>
      <c r="K526" s="126">
        <f t="shared" si="179"/>
        <v>0</v>
      </c>
      <c r="L526" s="102"/>
      <c r="M526" s="166">
        <v>0</v>
      </c>
      <c r="N526" s="99"/>
    </row>
    <row r="527" spans="1:14" s="103" customFormat="1" ht="12.75">
      <c r="A527" s="97" t="s">
        <v>1508</v>
      </c>
      <c r="B527" s="97" t="s">
        <v>1150</v>
      </c>
      <c r="C527" s="97" t="s">
        <v>1208</v>
      </c>
      <c r="D527" s="97"/>
      <c r="E527" s="109" t="s">
        <v>1209</v>
      </c>
      <c r="F527" s="108" t="s">
        <v>850</v>
      </c>
      <c r="G527" s="108">
        <v>1</v>
      </c>
      <c r="H527" s="108"/>
      <c r="I527" s="100"/>
      <c r="J527" s="101"/>
      <c r="K527" s="126">
        <f t="shared" si="179"/>
        <v>0</v>
      </c>
      <c r="L527" s="102"/>
      <c r="M527" s="166">
        <v>0.00494</v>
      </c>
      <c r="N527" s="99"/>
    </row>
    <row r="528" spans="1:14" s="103" customFormat="1" ht="12.75">
      <c r="A528" s="97" t="s">
        <v>1509</v>
      </c>
      <c r="B528" s="97" t="s">
        <v>1150</v>
      </c>
      <c r="C528" s="97" t="s">
        <v>1210</v>
      </c>
      <c r="D528" s="97"/>
      <c r="E528" s="109" t="s">
        <v>1211</v>
      </c>
      <c r="F528" s="108" t="s">
        <v>850</v>
      </c>
      <c r="G528" s="108">
        <v>1</v>
      </c>
      <c r="H528" s="108"/>
      <c r="I528" s="100"/>
      <c r="J528" s="101"/>
      <c r="K528" s="126">
        <f t="shared" si="179"/>
        <v>0</v>
      </c>
      <c r="L528" s="102"/>
      <c r="M528" s="166">
        <v>7E-05</v>
      </c>
      <c r="N528" s="99"/>
    </row>
    <row r="529" spans="1:14" s="103" customFormat="1" ht="25.5">
      <c r="A529" s="97" t="s">
        <v>1510</v>
      </c>
      <c r="B529" s="97" t="s">
        <v>1150</v>
      </c>
      <c r="C529" s="97" t="s">
        <v>1212</v>
      </c>
      <c r="D529" s="97"/>
      <c r="E529" s="109" t="s">
        <v>1213</v>
      </c>
      <c r="F529" s="108" t="s">
        <v>1155</v>
      </c>
      <c r="G529" s="108">
        <v>1</v>
      </c>
      <c r="H529" s="108"/>
      <c r="I529" s="100"/>
      <c r="J529" s="101"/>
      <c r="K529" s="126">
        <f t="shared" si="179"/>
        <v>0</v>
      </c>
      <c r="L529" s="102"/>
      <c r="M529" s="166">
        <v>0.00298</v>
      </c>
      <c r="N529" s="99"/>
    </row>
    <row r="530" spans="1:14" s="103" customFormat="1" ht="25.5">
      <c r="A530" s="97" t="s">
        <v>1511</v>
      </c>
      <c r="B530" s="97" t="s">
        <v>1150</v>
      </c>
      <c r="C530" s="97" t="s">
        <v>1214</v>
      </c>
      <c r="D530" s="97"/>
      <c r="E530" s="109" t="s">
        <v>1215</v>
      </c>
      <c r="F530" s="108" t="s">
        <v>1155</v>
      </c>
      <c r="G530" s="108">
        <v>1</v>
      </c>
      <c r="H530" s="108"/>
      <c r="I530" s="100"/>
      <c r="J530" s="101"/>
      <c r="K530" s="126">
        <f t="shared" si="179"/>
        <v>0</v>
      </c>
      <c r="L530" s="102"/>
      <c r="M530" s="166">
        <v>0.00288</v>
      </c>
      <c r="N530" s="99"/>
    </row>
    <row r="531" spans="1:14" s="103" customFormat="1" ht="25.5">
      <c r="A531" s="97" t="s">
        <v>1512</v>
      </c>
      <c r="B531" s="97" t="s">
        <v>1150</v>
      </c>
      <c r="C531" s="97" t="s">
        <v>1216</v>
      </c>
      <c r="D531" s="97"/>
      <c r="E531" s="109" t="s">
        <v>1217</v>
      </c>
      <c r="F531" s="108" t="s">
        <v>1155</v>
      </c>
      <c r="G531" s="108">
        <v>2</v>
      </c>
      <c r="H531" s="108"/>
      <c r="I531" s="100"/>
      <c r="J531" s="101"/>
      <c r="K531" s="126">
        <f t="shared" si="179"/>
        <v>0</v>
      </c>
      <c r="L531" s="102"/>
      <c r="M531" s="166">
        <v>0.00678</v>
      </c>
      <c r="N531" s="99"/>
    </row>
    <row r="532" spans="1:14" s="103" customFormat="1" ht="12.75">
      <c r="A532" s="97" t="s">
        <v>1513</v>
      </c>
      <c r="B532" s="97" t="s">
        <v>1150</v>
      </c>
      <c r="C532" s="97" t="s">
        <v>1218</v>
      </c>
      <c r="D532" s="97"/>
      <c r="E532" s="109" t="s">
        <v>1682</v>
      </c>
      <c r="F532" s="108" t="s">
        <v>1155</v>
      </c>
      <c r="G532" s="108">
        <v>2</v>
      </c>
      <c r="H532" s="108"/>
      <c r="I532" s="100"/>
      <c r="J532" s="101"/>
      <c r="K532" s="126">
        <f t="shared" si="179"/>
        <v>0</v>
      </c>
      <c r="L532" s="102"/>
      <c r="M532" s="166">
        <v>0.00136</v>
      </c>
      <c r="N532" s="99"/>
    </row>
    <row r="533" spans="1:14" s="103" customFormat="1" ht="12.75">
      <c r="A533" s="97" t="s">
        <v>1514</v>
      </c>
      <c r="B533" s="97" t="s">
        <v>1150</v>
      </c>
      <c r="C533" s="97" t="s">
        <v>1219</v>
      </c>
      <c r="D533" s="97"/>
      <c r="E533" s="109" t="s">
        <v>1220</v>
      </c>
      <c r="F533" s="108" t="s">
        <v>1155</v>
      </c>
      <c r="G533" s="108">
        <v>2</v>
      </c>
      <c r="H533" s="108"/>
      <c r="I533" s="100"/>
      <c r="J533" s="101"/>
      <c r="K533" s="126">
        <f t="shared" si="179"/>
        <v>0</v>
      </c>
      <c r="L533" s="102"/>
      <c r="M533" s="166">
        <v>0.00238</v>
      </c>
      <c r="N533" s="99"/>
    </row>
    <row r="534" spans="1:14" s="103" customFormat="1" ht="12.75">
      <c r="A534" s="97" t="s">
        <v>1515</v>
      </c>
      <c r="B534" s="97" t="s">
        <v>1150</v>
      </c>
      <c r="C534" s="97" t="s">
        <v>1683</v>
      </c>
      <c r="D534" s="97"/>
      <c r="E534" s="109" t="s">
        <v>1684</v>
      </c>
      <c r="F534" s="108" t="s">
        <v>850</v>
      </c>
      <c r="G534" s="108" t="s">
        <v>11</v>
      </c>
      <c r="H534" s="108"/>
      <c r="I534" s="100"/>
      <c r="J534" s="101"/>
      <c r="K534" s="126">
        <f t="shared" si="179"/>
        <v>0</v>
      </c>
      <c r="L534" s="102"/>
      <c r="M534" s="166"/>
      <c r="N534" s="99"/>
    </row>
    <row r="535" spans="1:14" s="119" customFormat="1" ht="12.75">
      <c r="A535" s="110"/>
      <c r="B535" s="110" t="s">
        <v>1150</v>
      </c>
      <c r="C535" s="110" t="s">
        <v>1221</v>
      </c>
      <c r="D535" s="110"/>
      <c r="E535" s="121" t="s">
        <v>1222</v>
      </c>
      <c r="F535" s="114"/>
      <c r="G535" s="114"/>
      <c r="H535" s="114"/>
      <c r="I535" s="115"/>
      <c r="J535" s="116"/>
      <c r="K535" s="131">
        <f>SUM(K536:K557)</f>
        <v>0</v>
      </c>
      <c r="L535" s="117"/>
      <c r="M535" s="169">
        <v>1.33334</v>
      </c>
      <c r="N535" s="118"/>
    </row>
    <row r="536" spans="1:14" s="103" customFormat="1" ht="12.75">
      <c r="A536" s="97" t="s">
        <v>1516</v>
      </c>
      <c r="B536" s="97" t="s">
        <v>1150</v>
      </c>
      <c r="C536" s="97" t="s">
        <v>1223</v>
      </c>
      <c r="D536" s="97"/>
      <c r="E536" s="109" t="s">
        <v>1224</v>
      </c>
      <c r="F536" s="108" t="s">
        <v>846</v>
      </c>
      <c r="G536" s="108">
        <v>80</v>
      </c>
      <c r="H536" s="108"/>
      <c r="I536" s="100"/>
      <c r="J536" s="101"/>
      <c r="K536" s="126">
        <f>G536*H536</f>
        <v>0</v>
      </c>
      <c r="L536" s="102"/>
      <c r="M536" s="166">
        <v>0.0016</v>
      </c>
      <c r="N536" s="99"/>
    </row>
    <row r="537" spans="1:14" s="103" customFormat="1" ht="12.75">
      <c r="A537" s="97" t="s">
        <v>1517</v>
      </c>
      <c r="B537" s="97" t="s">
        <v>1150</v>
      </c>
      <c r="C537" s="97" t="s">
        <v>1225</v>
      </c>
      <c r="D537" s="97"/>
      <c r="E537" s="109" t="s">
        <v>1226</v>
      </c>
      <c r="F537" s="108" t="s">
        <v>846</v>
      </c>
      <c r="G537" s="108">
        <v>170</v>
      </c>
      <c r="H537" s="108"/>
      <c r="I537" s="100"/>
      <c r="J537" s="101"/>
      <c r="K537" s="126">
        <f aca="true" t="shared" si="180" ref="K537:K557">G537*H537</f>
        <v>0</v>
      </c>
      <c r="L537" s="102"/>
      <c r="M537" s="166">
        <v>0.0034</v>
      </c>
      <c r="N537" s="99"/>
    </row>
    <row r="538" spans="1:14" s="103" customFormat="1" ht="12.75">
      <c r="A538" s="97" t="s">
        <v>1518</v>
      </c>
      <c r="B538" s="97" t="s">
        <v>1150</v>
      </c>
      <c r="C538" s="97" t="s">
        <v>1227</v>
      </c>
      <c r="D538" s="97"/>
      <c r="E538" s="109" t="s">
        <v>1228</v>
      </c>
      <c r="F538" s="108" t="s">
        <v>846</v>
      </c>
      <c r="G538" s="108">
        <v>50</v>
      </c>
      <c r="H538" s="108"/>
      <c r="I538" s="100"/>
      <c r="J538" s="101"/>
      <c r="K538" s="126">
        <f t="shared" si="180"/>
        <v>0</v>
      </c>
      <c r="L538" s="102"/>
      <c r="M538" s="166">
        <v>0.0025</v>
      </c>
      <c r="N538" s="99"/>
    </row>
    <row r="539" spans="1:14" s="103" customFormat="1" ht="12.75">
      <c r="A539" s="97" t="s">
        <v>1519</v>
      </c>
      <c r="B539" s="97" t="s">
        <v>1150</v>
      </c>
      <c r="C539" s="97" t="s">
        <v>1229</v>
      </c>
      <c r="D539" s="97"/>
      <c r="E539" s="109" t="s">
        <v>1230</v>
      </c>
      <c r="F539" s="108" t="s">
        <v>846</v>
      </c>
      <c r="G539" s="108" t="s">
        <v>26</v>
      </c>
      <c r="H539" s="108"/>
      <c r="I539" s="100"/>
      <c r="J539" s="101"/>
      <c r="K539" s="126">
        <f t="shared" si="180"/>
        <v>0</v>
      </c>
      <c r="L539" s="102"/>
      <c r="M539" s="166">
        <v>0.0395</v>
      </c>
      <c r="N539" s="99"/>
    </row>
    <row r="540" spans="1:14" s="103" customFormat="1" ht="12.75">
      <c r="A540" s="97" t="s">
        <v>1520</v>
      </c>
      <c r="B540" s="97" t="s">
        <v>1150</v>
      </c>
      <c r="C540" s="97" t="s">
        <v>1231</v>
      </c>
      <c r="D540" s="97"/>
      <c r="E540" s="109" t="s">
        <v>1232</v>
      </c>
      <c r="F540" s="108" t="s">
        <v>846</v>
      </c>
      <c r="G540" s="108" t="s">
        <v>16</v>
      </c>
      <c r="H540" s="108"/>
      <c r="I540" s="100"/>
      <c r="J540" s="101"/>
      <c r="K540" s="126">
        <f t="shared" si="180"/>
        <v>0</v>
      </c>
      <c r="L540" s="102"/>
      <c r="M540" s="166">
        <v>0.0444</v>
      </c>
      <c r="N540" s="99"/>
    </row>
    <row r="541" spans="1:14" s="103" customFormat="1" ht="12.75">
      <c r="A541" s="97" t="s">
        <v>1521</v>
      </c>
      <c r="B541" s="97" t="s">
        <v>1150</v>
      </c>
      <c r="C541" s="97" t="s">
        <v>1233</v>
      </c>
      <c r="D541" s="97"/>
      <c r="E541" s="109" t="s">
        <v>1234</v>
      </c>
      <c r="F541" s="108" t="s">
        <v>846</v>
      </c>
      <c r="G541" s="108" t="s">
        <v>17</v>
      </c>
      <c r="H541" s="108"/>
      <c r="I541" s="100"/>
      <c r="J541" s="101"/>
      <c r="K541" s="126">
        <f t="shared" si="180"/>
        <v>0</v>
      </c>
      <c r="L541" s="102"/>
      <c r="M541" s="166">
        <v>0.066</v>
      </c>
      <c r="N541" s="99"/>
    </row>
    <row r="542" spans="1:14" s="103" customFormat="1" ht="12.75">
      <c r="A542" s="97" t="s">
        <v>1522</v>
      </c>
      <c r="B542" s="97" t="s">
        <v>1150</v>
      </c>
      <c r="C542" s="97" t="s">
        <v>1235</v>
      </c>
      <c r="D542" s="97"/>
      <c r="E542" s="109" t="s">
        <v>1236</v>
      </c>
      <c r="F542" s="108" t="s">
        <v>846</v>
      </c>
      <c r="G542" s="108" t="s">
        <v>1507</v>
      </c>
      <c r="H542" s="108"/>
      <c r="I542" s="100"/>
      <c r="J542" s="101"/>
      <c r="K542" s="126">
        <f t="shared" si="180"/>
        <v>0</v>
      </c>
      <c r="L542" s="102"/>
      <c r="M542" s="166">
        <v>0.592</v>
      </c>
      <c r="N542" s="99"/>
    </row>
    <row r="543" spans="1:14" s="103" customFormat="1" ht="12.75">
      <c r="A543" s="97" t="s">
        <v>1523</v>
      </c>
      <c r="B543" s="97" t="s">
        <v>1150</v>
      </c>
      <c r="C543" s="97" t="s">
        <v>1237</v>
      </c>
      <c r="D543" s="97"/>
      <c r="E543" s="109" t="s">
        <v>1238</v>
      </c>
      <c r="F543" s="108" t="s">
        <v>846</v>
      </c>
      <c r="G543" s="108" t="s">
        <v>67</v>
      </c>
      <c r="H543" s="108"/>
      <c r="I543" s="100"/>
      <c r="J543" s="101"/>
      <c r="K543" s="126">
        <f t="shared" si="180"/>
        <v>0</v>
      </c>
      <c r="L543" s="102"/>
      <c r="M543" s="166">
        <v>0.1598</v>
      </c>
      <c r="N543" s="99"/>
    </row>
    <row r="544" spans="1:14" s="103" customFormat="1" ht="12.75">
      <c r="A544" s="97" t="s">
        <v>1524</v>
      </c>
      <c r="B544" s="97" t="s">
        <v>1150</v>
      </c>
      <c r="C544" s="97" t="s">
        <v>1239</v>
      </c>
      <c r="D544" s="97"/>
      <c r="E544" s="109" t="s">
        <v>1240</v>
      </c>
      <c r="F544" s="108" t="s">
        <v>846</v>
      </c>
      <c r="G544" s="108" t="s">
        <v>81</v>
      </c>
      <c r="H544" s="108"/>
      <c r="I544" s="100"/>
      <c r="J544" s="101"/>
      <c r="K544" s="126">
        <f t="shared" si="180"/>
        <v>0</v>
      </c>
      <c r="L544" s="102"/>
      <c r="M544" s="166">
        <v>0.3692</v>
      </c>
      <c r="N544" s="99"/>
    </row>
    <row r="545" spans="1:14" s="103" customFormat="1" ht="12.75">
      <c r="A545" s="97" t="s">
        <v>1525</v>
      </c>
      <c r="B545" s="97" t="s">
        <v>1150</v>
      </c>
      <c r="C545" s="97" t="s">
        <v>1241</v>
      </c>
      <c r="D545" s="97"/>
      <c r="E545" s="109" t="s">
        <v>1242</v>
      </c>
      <c r="F545" s="108" t="s">
        <v>846</v>
      </c>
      <c r="G545" s="108" t="s">
        <v>15</v>
      </c>
      <c r="H545" s="108"/>
      <c r="I545" s="100"/>
      <c r="J545" s="101"/>
      <c r="K545" s="126">
        <f t="shared" si="180"/>
        <v>0</v>
      </c>
      <c r="L545" s="102"/>
      <c r="M545" s="166">
        <v>0.0428</v>
      </c>
      <c r="N545" s="99"/>
    </row>
    <row r="546" spans="1:14" s="140" customFormat="1" ht="14.25" customHeight="1">
      <c r="A546" s="97" t="s">
        <v>1526</v>
      </c>
      <c r="B546" s="133" t="s">
        <v>1150</v>
      </c>
      <c r="C546" s="133" t="s">
        <v>1243</v>
      </c>
      <c r="D546" s="133"/>
      <c r="E546" s="134" t="s">
        <v>1667</v>
      </c>
      <c r="F546" s="135" t="s">
        <v>850</v>
      </c>
      <c r="G546" s="135" t="s">
        <v>97</v>
      </c>
      <c r="H546" s="135"/>
      <c r="I546" s="136"/>
      <c r="J546" s="137"/>
      <c r="K546" s="126">
        <f t="shared" si="180"/>
        <v>0</v>
      </c>
      <c r="L546" s="138"/>
      <c r="M546" s="170">
        <v>0</v>
      </c>
      <c r="N546" s="139"/>
    </row>
    <row r="547" spans="1:14" s="140" customFormat="1" ht="14.25" customHeight="1">
      <c r="A547" s="97" t="s">
        <v>1527</v>
      </c>
      <c r="B547" s="133" t="s">
        <v>1150</v>
      </c>
      <c r="C547" s="133" t="s">
        <v>1244</v>
      </c>
      <c r="D547" s="133"/>
      <c r="E547" s="134" t="s">
        <v>1668</v>
      </c>
      <c r="F547" s="135" t="s">
        <v>850</v>
      </c>
      <c r="G547" s="135">
        <v>4</v>
      </c>
      <c r="H547" s="135"/>
      <c r="I547" s="136"/>
      <c r="J547" s="137"/>
      <c r="K547" s="126">
        <f t="shared" si="180"/>
        <v>0</v>
      </c>
      <c r="L547" s="138"/>
      <c r="M547" s="170">
        <v>0</v>
      </c>
      <c r="N547" s="139"/>
    </row>
    <row r="548" spans="1:14" s="140" customFormat="1" ht="14.25" customHeight="1">
      <c r="A548" s="97" t="s">
        <v>1528</v>
      </c>
      <c r="B548" s="133" t="s">
        <v>1150</v>
      </c>
      <c r="C548" s="133" t="s">
        <v>1245</v>
      </c>
      <c r="D548" s="133"/>
      <c r="E548" s="134" t="s">
        <v>1669</v>
      </c>
      <c r="F548" s="135" t="s">
        <v>850</v>
      </c>
      <c r="G548" s="135">
        <v>6</v>
      </c>
      <c r="H548" s="135"/>
      <c r="I548" s="136"/>
      <c r="J548" s="137"/>
      <c r="K548" s="126">
        <f t="shared" si="180"/>
        <v>0</v>
      </c>
      <c r="L548" s="138"/>
      <c r="M548" s="170">
        <v>0</v>
      </c>
      <c r="N548" s="139"/>
    </row>
    <row r="549" spans="1:14" s="103" customFormat="1" ht="12.75">
      <c r="A549" s="97" t="s">
        <v>1529</v>
      </c>
      <c r="B549" s="97" t="s">
        <v>1150</v>
      </c>
      <c r="C549" s="97" t="s">
        <v>1246</v>
      </c>
      <c r="D549" s="97"/>
      <c r="E549" s="109" t="s">
        <v>1670</v>
      </c>
      <c r="F549" s="108" t="s">
        <v>846</v>
      </c>
      <c r="G549" s="108">
        <v>15</v>
      </c>
      <c r="H549" s="108"/>
      <c r="I549" s="100"/>
      <c r="J549" s="101"/>
      <c r="K549" s="126">
        <f t="shared" si="180"/>
        <v>0</v>
      </c>
      <c r="L549" s="102"/>
      <c r="M549" s="166">
        <v>0.0009</v>
      </c>
      <c r="N549" s="99"/>
    </row>
    <row r="550" spans="1:14" s="103" customFormat="1" ht="12.75">
      <c r="A550" s="97" t="s">
        <v>1530</v>
      </c>
      <c r="B550" s="97" t="s">
        <v>1150</v>
      </c>
      <c r="C550" s="97" t="s">
        <v>1247</v>
      </c>
      <c r="D550" s="97"/>
      <c r="E550" s="109" t="s">
        <v>1248</v>
      </c>
      <c r="F550" s="108" t="s">
        <v>850</v>
      </c>
      <c r="G550" s="108">
        <v>6</v>
      </c>
      <c r="H550" s="108"/>
      <c r="I550" s="100"/>
      <c r="J550" s="101"/>
      <c r="K550" s="126">
        <f t="shared" si="180"/>
        <v>0</v>
      </c>
      <c r="L550" s="102"/>
      <c r="M550" s="166">
        <v>0.00024</v>
      </c>
      <c r="N550" s="99"/>
    </row>
    <row r="551" spans="1:14" s="103" customFormat="1" ht="12.75">
      <c r="A551" s="97" t="s">
        <v>1531</v>
      </c>
      <c r="B551" s="97" t="s">
        <v>1150</v>
      </c>
      <c r="C551" s="97" t="s">
        <v>1249</v>
      </c>
      <c r="D551" s="97"/>
      <c r="E551" s="109" t="s">
        <v>1250</v>
      </c>
      <c r="F551" s="108" t="s">
        <v>850</v>
      </c>
      <c r="G551" s="108">
        <v>4</v>
      </c>
      <c r="H551" s="108"/>
      <c r="I551" s="100"/>
      <c r="J551" s="101"/>
      <c r="K551" s="126">
        <f t="shared" si="180"/>
        <v>0</v>
      </c>
      <c r="L551" s="102"/>
      <c r="M551" s="166">
        <v>0.00652</v>
      </c>
      <c r="N551" s="99"/>
    </row>
    <row r="552" spans="1:14" s="103" customFormat="1" ht="12.75">
      <c r="A552" s="97" t="s">
        <v>1532</v>
      </c>
      <c r="B552" s="97" t="s">
        <v>1150</v>
      </c>
      <c r="C552" s="97" t="s">
        <v>1251</v>
      </c>
      <c r="D552" s="97"/>
      <c r="E552" s="109" t="s">
        <v>1252</v>
      </c>
      <c r="F552" s="108" t="s">
        <v>846</v>
      </c>
      <c r="G552" s="108">
        <v>680</v>
      </c>
      <c r="H552" s="108"/>
      <c r="I552" s="100"/>
      <c r="J552" s="101"/>
      <c r="K552" s="126">
        <f t="shared" si="180"/>
        <v>0</v>
      </c>
      <c r="L552" s="102"/>
      <c r="M552" s="166">
        <v>0</v>
      </c>
      <c r="N552" s="99"/>
    </row>
    <row r="553" spans="1:14" s="103" customFormat="1" ht="12.75">
      <c r="A553" s="97" t="s">
        <v>1533</v>
      </c>
      <c r="B553" s="97" t="s">
        <v>1150</v>
      </c>
      <c r="C553" s="97" t="s">
        <v>1253</v>
      </c>
      <c r="D553" s="97"/>
      <c r="E553" s="109" t="s">
        <v>1254</v>
      </c>
      <c r="F553" s="108" t="s">
        <v>850</v>
      </c>
      <c r="G553" s="108">
        <v>30</v>
      </c>
      <c r="H553" s="108"/>
      <c r="I553" s="100"/>
      <c r="J553" s="101"/>
      <c r="K553" s="126">
        <f t="shared" si="180"/>
        <v>0</v>
      </c>
      <c r="L553" s="102"/>
      <c r="M553" s="166">
        <v>0</v>
      </c>
      <c r="N553" s="99"/>
    </row>
    <row r="554" spans="1:14" s="103" customFormat="1" ht="12.75">
      <c r="A554" s="97" t="s">
        <v>1534</v>
      </c>
      <c r="B554" s="97" t="s">
        <v>1150</v>
      </c>
      <c r="C554" s="97" t="s">
        <v>1255</v>
      </c>
      <c r="D554" s="97"/>
      <c r="E554" s="109" t="s">
        <v>1256</v>
      </c>
      <c r="F554" s="108" t="s">
        <v>850</v>
      </c>
      <c r="G554" s="108">
        <v>10</v>
      </c>
      <c r="H554" s="108"/>
      <c r="I554" s="100"/>
      <c r="J554" s="101"/>
      <c r="K554" s="126">
        <f t="shared" si="180"/>
        <v>0</v>
      </c>
      <c r="L554" s="102"/>
      <c r="M554" s="166">
        <v>0.0002</v>
      </c>
      <c r="N554" s="99"/>
    </row>
    <row r="555" spans="1:14" s="103" customFormat="1" ht="12.75">
      <c r="A555" s="97" t="s">
        <v>1535</v>
      </c>
      <c r="B555" s="97" t="s">
        <v>1150</v>
      </c>
      <c r="C555" s="97" t="s">
        <v>1257</v>
      </c>
      <c r="D555" s="97"/>
      <c r="E555" s="109" t="s">
        <v>1258</v>
      </c>
      <c r="F555" s="108" t="s">
        <v>850</v>
      </c>
      <c r="G555" s="108">
        <v>4</v>
      </c>
      <c r="H555" s="108"/>
      <c r="I555" s="100"/>
      <c r="J555" s="101"/>
      <c r="K555" s="126">
        <f t="shared" si="180"/>
        <v>0</v>
      </c>
      <c r="L555" s="102"/>
      <c r="M555" s="166">
        <v>0.00012</v>
      </c>
      <c r="N555" s="99"/>
    </row>
    <row r="556" spans="1:14" s="103" customFormat="1" ht="25.5">
      <c r="A556" s="97" t="s">
        <v>1536</v>
      </c>
      <c r="B556" s="97" t="s">
        <v>1150</v>
      </c>
      <c r="C556" s="97" t="s">
        <v>1259</v>
      </c>
      <c r="D556" s="97"/>
      <c r="E556" s="109" t="s">
        <v>1260</v>
      </c>
      <c r="F556" s="108" t="s">
        <v>846</v>
      </c>
      <c r="G556" s="108">
        <v>16</v>
      </c>
      <c r="H556" s="108"/>
      <c r="I556" s="100"/>
      <c r="J556" s="101"/>
      <c r="K556" s="126">
        <f t="shared" si="180"/>
        <v>0</v>
      </c>
      <c r="L556" s="102"/>
      <c r="M556" s="166">
        <v>0.0032</v>
      </c>
      <c r="N556" s="99"/>
    </row>
    <row r="557" spans="1:14" s="103" customFormat="1" ht="25.5">
      <c r="A557" s="97" t="s">
        <v>1537</v>
      </c>
      <c r="B557" s="97" t="s">
        <v>1150</v>
      </c>
      <c r="C557" s="97" t="s">
        <v>1261</v>
      </c>
      <c r="D557" s="97"/>
      <c r="E557" s="109" t="s">
        <v>1262</v>
      </c>
      <c r="F557" s="108" t="s">
        <v>846</v>
      </c>
      <c r="G557" s="108">
        <v>4</v>
      </c>
      <c r="H557" s="108"/>
      <c r="I557" s="100"/>
      <c r="J557" s="101"/>
      <c r="K557" s="126">
        <f t="shared" si="180"/>
        <v>0</v>
      </c>
      <c r="L557" s="102"/>
      <c r="M557" s="166">
        <v>0.00096</v>
      </c>
      <c r="N557" s="99"/>
    </row>
    <row r="558" spans="1:14" s="119" customFormat="1" ht="12.75">
      <c r="A558" s="110"/>
      <c r="B558" s="110" t="s">
        <v>1150</v>
      </c>
      <c r="C558" s="110" t="s">
        <v>1263</v>
      </c>
      <c r="D558" s="110"/>
      <c r="E558" s="121" t="s">
        <v>1264</v>
      </c>
      <c r="F558" s="114"/>
      <c r="G558" s="114"/>
      <c r="H558" s="114"/>
      <c r="I558" s="115"/>
      <c r="J558" s="116"/>
      <c r="K558" s="131">
        <f>SUM(K559:K602)</f>
        <v>0</v>
      </c>
      <c r="L558" s="117"/>
      <c r="M558" s="165">
        <v>0.11703</v>
      </c>
      <c r="N558" s="118"/>
    </row>
    <row r="559" spans="1:14" s="103" customFormat="1" ht="12.75">
      <c r="A559" s="97" t="s">
        <v>1538</v>
      </c>
      <c r="B559" s="97" t="s">
        <v>1150</v>
      </c>
      <c r="C559" s="97" t="s">
        <v>1265</v>
      </c>
      <c r="D559" s="97"/>
      <c r="E559" s="109" t="s">
        <v>1266</v>
      </c>
      <c r="F559" s="108" t="s">
        <v>850</v>
      </c>
      <c r="G559" s="108">
        <v>10</v>
      </c>
      <c r="H559" s="108"/>
      <c r="I559" s="100"/>
      <c r="J559" s="101"/>
      <c r="K559" s="126">
        <f>G559*H559</f>
        <v>0</v>
      </c>
      <c r="L559" s="102"/>
      <c r="M559" s="166">
        <v>0.0002</v>
      </c>
      <c r="N559" s="99"/>
    </row>
    <row r="560" spans="1:14" s="103" customFormat="1" ht="12.75">
      <c r="A560" s="97" t="s">
        <v>1539</v>
      </c>
      <c r="B560" s="97" t="s">
        <v>1150</v>
      </c>
      <c r="C560" s="97" t="s">
        <v>1267</v>
      </c>
      <c r="D560" s="97"/>
      <c r="E560" s="109" t="s">
        <v>1268</v>
      </c>
      <c r="F560" s="108" t="s">
        <v>850</v>
      </c>
      <c r="G560" s="108">
        <v>4</v>
      </c>
      <c r="H560" s="108"/>
      <c r="I560" s="100"/>
      <c r="J560" s="101"/>
      <c r="K560" s="126">
        <f aca="true" t="shared" si="181" ref="K560:K602">G560*H560</f>
        <v>0</v>
      </c>
      <c r="L560" s="102"/>
      <c r="M560" s="166">
        <v>8E-05</v>
      </c>
      <c r="N560" s="99"/>
    </row>
    <row r="561" spans="1:14" s="103" customFormat="1" ht="12.75">
      <c r="A561" s="97" t="s">
        <v>1540</v>
      </c>
      <c r="B561" s="97" t="s">
        <v>1150</v>
      </c>
      <c r="C561" s="97" t="s">
        <v>1269</v>
      </c>
      <c r="D561" s="97"/>
      <c r="E561" s="109" t="s">
        <v>1270</v>
      </c>
      <c r="F561" s="108" t="s">
        <v>850</v>
      </c>
      <c r="G561" s="108">
        <v>16</v>
      </c>
      <c r="H561" s="108"/>
      <c r="I561" s="100"/>
      <c r="J561" s="101"/>
      <c r="K561" s="126">
        <f t="shared" si="181"/>
        <v>0</v>
      </c>
      <c r="L561" s="102"/>
      <c r="M561" s="166">
        <v>0.00032</v>
      </c>
      <c r="N561" s="99"/>
    </row>
    <row r="562" spans="1:14" s="103" customFormat="1" ht="12.75">
      <c r="A562" s="97" t="s">
        <v>1541</v>
      </c>
      <c r="B562" s="97" t="s">
        <v>1150</v>
      </c>
      <c r="C562" s="97" t="s">
        <v>1271</v>
      </c>
      <c r="D562" s="97"/>
      <c r="E562" s="109" t="s">
        <v>1272</v>
      </c>
      <c r="F562" s="108" t="s">
        <v>850</v>
      </c>
      <c r="G562" s="108">
        <v>8</v>
      </c>
      <c r="H562" s="108"/>
      <c r="I562" s="100"/>
      <c r="J562" s="101"/>
      <c r="K562" s="126">
        <f t="shared" si="181"/>
        <v>0</v>
      </c>
      <c r="L562" s="102"/>
      <c r="M562" s="166">
        <v>0.00016</v>
      </c>
      <c r="N562" s="99"/>
    </row>
    <row r="563" spans="1:14" s="103" customFormat="1" ht="12.75">
      <c r="A563" s="97" t="s">
        <v>1542</v>
      </c>
      <c r="B563" s="97" t="s">
        <v>1150</v>
      </c>
      <c r="C563" s="97" t="s">
        <v>1273</v>
      </c>
      <c r="D563" s="97"/>
      <c r="E563" s="109" t="s">
        <v>1274</v>
      </c>
      <c r="F563" s="108" t="s">
        <v>850</v>
      </c>
      <c r="G563" s="108">
        <v>16</v>
      </c>
      <c r="H563" s="108"/>
      <c r="I563" s="100"/>
      <c r="J563" s="101"/>
      <c r="K563" s="126">
        <f t="shared" si="181"/>
        <v>0</v>
      </c>
      <c r="L563" s="102"/>
      <c r="M563" s="166">
        <v>0.00096</v>
      </c>
      <c r="N563" s="99"/>
    </row>
    <row r="564" spans="1:14" s="103" customFormat="1" ht="12.75">
      <c r="A564" s="97" t="s">
        <v>1543</v>
      </c>
      <c r="B564" s="97" t="s">
        <v>1150</v>
      </c>
      <c r="C564" s="97" t="s">
        <v>1275</v>
      </c>
      <c r="D564" s="97"/>
      <c r="E564" s="109" t="s">
        <v>1276</v>
      </c>
      <c r="F564" s="108" t="s">
        <v>850</v>
      </c>
      <c r="G564" s="108">
        <v>8</v>
      </c>
      <c r="H564" s="108"/>
      <c r="I564" s="100"/>
      <c r="J564" s="101"/>
      <c r="K564" s="126">
        <f t="shared" si="181"/>
        <v>0</v>
      </c>
      <c r="L564" s="102"/>
      <c r="M564" s="166">
        <v>0.00064</v>
      </c>
      <c r="N564" s="99"/>
    </row>
    <row r="565" spans="1:14" s="103" customFormat="1" ht="12.75">
      <c r="A565" s="97" t="s">
        <v>1544</v>
      </c>
      <c r="B565" s="97" t="s">
        <v>1150</v>
      </c>
      <c r="C565" s="97" t="s">
        <v>1277</v>
      </c>
      <c r="D565" s="97"/>
      <c r="E565" s="109" t="s">
        <v>1278</v>
      </c>
      <c r="F565" s="108" t="s">
        <v>850</v>
      </c>
      <c r="G565" s="108">
        <v>4</v>
      </c>
      <c r="H565" s="108"/>
      <c r="I565" s="100"/>
      <c r="J565" s="101"/>
      <c r="K565" s="126">
        <f t="shared" si="181"/>
        <v>0</v>
      </c>
      <c r="L565" s="102"/>
      <c r="M565" s="166">
        <v>0.00016</v>
      </c>
      <c r="N565" s="99"/>
    </row>
    <row r="566" spans="1:14" s="103" customFormat="1" ht="12.75">
      <c r="A566" s="97" t="s">
        <v>1545</v>
      </c>
      <c r="B566" s="97" t="s">
        <v>1150</v>
      </c>
      <c r="C566" s="97" t="s">
        <v>1279</v>
      </c>
      <c r="D566" s="97"/>
      <c r="E566" s="109" t="s">
        <v>1280</v>
      </c>
      <c r="F566" s="108" t="s">
        <v>850</v>
      </c>
      <c r="G566" s="108">
        <v>15</v>
      </c>
      <c r="H566" s="108"/>
      <c r="I566" s="100"/>
      <c r="J566" s="101"/>
      <c r="K566" s="126">
        <f t="shared" si="181"/>
        <v>0</v>
      </c>
      <c r="L566" s="102"/>
      <c r="M566" s="166">
        <v>0.00135</v>
      </c>
      <c r="N566" s="99"/>
    </row>
    <row r="567" spans="1:14" s="103" customFormat="1" ht="12.75">
      <c r="A567" s="97" t="s">
        <v>1546</v>
      </c>
      <c r="B567" s="97" t="s">
        <v>1150</v>
      </c>
      <c r="C567" s="97" t="s">
        <v>1281</v>
      </c>
      <c r="D567" s="97"/>
      <c r="E567" s="109" t="s">
        <v>1282</v>
      </c>
      <c r="F567" s="108" t="s">
        <v>850</v>
      </c>
      <c r="G567" s="108">
        <v>25</v>
      </c>
      <c r="H567" s="108"/>
      <c r="I567" s="100"/>
      <c r="J567" s="101"/>
      <c r="K567" s="126">
        <f t="shared" si="181"/>
        <v>0</v>
      </c>
      <c r="L567" s="102"/>
      <c r="M567" s="166">
        <v>0.00325</v>
      </c>
      <c r="N567" s="99"/>
    </row>
    <row r="568" spans="1:14" s="103" customFormat="1" ht="12.75">
      <c r="A568" s="97" t="s">
        <v>1547</v>
      </c>
      <c r="B568" s="97" t="s">
        <v>1150</v>
      </c>
      <c r="C568" s="97" t="s">
        <v>1283</v>
      </c>
      <c r="D568" s="97"/>
      <c r="E568" s="109" t="s">
        <v>1284</v>
      </c>
      <c r="F568" s="108" t="s">
        <v>850</v>
      </c>
      <c r="G568" s="108">
        <v>1</v>
      </c>
      <c r="H568" s="108"/>
      <c r="I568" s="100"/>
      <c r="J568" s="101"/>
      <c r="K568" s="126">
        <f t="shared" si="181"/>
        <v>0</v>
      </c>
      <c r="L568" s="102"/>
      <c r="M568" s="166">
        <v>0.00012</v>
      </c>
      <c r="N568" s="99"/>
    </row>
    <row r="569" spans="1:14" s="103" customFormat="1" ht="12.75">
      <c r="A569" s="97" t="s">
        <v>1548</v>
      </c>
      <c r="B569" s="97" t="s">
        <v>1150</v>
      </c>
      <c r="C569" s="97" t="s">
        <v>1285</v>
      </c>
      <c r="D569" s="97"/>
      <c r="E569" s="109" t="s">
        <v>1286</v>
      </c>
      <c r="F569" s="108" t="s">
        <v>850</v>
      </c>
      <c r="G569" s="108">
        <v>1</v>
      </c>
      <c r="H569" s="108"/>
      <c r="I569" s="100"/>
      <c r="J569" s="101"/>
      <c r="K569" s="126">
        <f t="shared" si="181"/>
        <v>0</v>
      </c>
      <c r="L569" s="102"/>
      <c r="M569" s="166">
        <v>0.00015</v>
      </c>
      <c r="N569" s="99"/>
    </row>
    <row r="570" spans="1:14" s="103" customFormat="1" ht="12.75">
      <c r="A570" s="97" t="s">
        <v>1549</v>
      </c>
      <c r="B570" s="97" t="s">
        <v>1150</v>
      </c>
      <c r="C570" s="97" t="s">
        <v>1287</v>
      </c>
      <c r="D570" s="97"/>
      <c r="E570" s="109" t="s">
        <v>1288</v>
      </c>
      <c r="F570" s="108" t="s">
        <v>850</v>
      </c>
      <c r="G570" s="108">
        <v>2</v>
      </c>
      <c r="H570" s="108"/>
      <c r="I570" s="100"/>
      <c r="J570" s="101"/>
      <c r="K570" s="126">
        <f t="shared" si="181"/>
        <v>0</v>
      </c>
      <c r="L570" s="102"/>
      <c r="M570" s="166">
        <v>0.00062</v>
      </c>
      <c r="N570" s="99"/>
    </row>
    <row r="571" spans="1:14" s="103" customFormat="1" ht="12.75">
      <c r="A571" s="97" t="s">
        <v>1550</v>
      </c>
      <c r="B571" s="97" t="s">
        <v>1150</v>
      </c>
      <c r="C571" s="97" t="s">
        <v>1289</v>
      </c>
      <c r="D571" s="97"/>
      <c r="E571" s="109" t="s">
        <v>1290</v>
      </c>
      <c r="F571" s="108" t="s">
        <v>850</v>
      </c>
      <c r="G571" s="108">
        <v>59</v>
      </c>
      <c r="H571" s="108"/>
      <c r="I571" s="100"/>
      <c r="J571" s="101"/>
      <c r="K571" s="126">
        <f t="shared" si="181"/>
        <v>0</v>
      </c>
      <c r="L571" s="102"/>
      <c r="M571" s="166">
        <v>0.00354</v>
      </c>
      <c r="N571" s="99"/>
    </row>
    <row r="572" spans="1:14" s="103" customFormat="1" ht="12.75">
      <c r="A572" s="97" t="s">
        <v>1551</v>
      </c>
      <c r="B572" s="97" t="s">
        <v>1150</v>
      </c>
      <c r="C572" s="97" t="s">
        <v>1291</v>
      </c>
      <c r="D572" s="97"/>
      <c r="E572" s="109" t="s">
        <v>1292</v>
      </c>
      <c r="F572" s="108" t="s">
        <v>850</v>
      </c>
      <c r="G572" s="108">
        <v>5</v>
      </c>
      <c r="H572" s="108"/>
      <c r="I572" s="100"/>
      <c r="J572" s="101"/>
      <c r="K572" s="126">
        <f t="shared" si="181"/>
        <v>0</v>
      </c>
      <c r="L572" s="102"/>
      <c r="M572" s="166">
        <v>0.0009</v>
      </c>
      <c r="N572" s="99"/>
    </row>
    <row r="573" spans="1:14" s="103" customFormat="1" ht="12.75">
      <c r="A573" s="97" t="s">
        <v>1552</v>
      </c>
      <c r="B573" s="97" t="s">
        <v>1150</v>
      </c>
      <c r="C573" s="97" t="s">
        <v>1293</v>
      </c>
      <c r="D573" s="97"/>
      <c r="E573" s="109" t="s">
        <v>1294</v>
      </c>
      <c r="F573" s="108" t="s">
        <v>850</v>
      </c>
      <c r="G573" s="108">
        <v>1</v>
      </c>
      <c r="H573" s="108"/>
      <c r="I573" s="100"/>
      <c r="J573" s="101"/>
      <c r="K573" s="126">
        <f t="shared" si="181"/>
        <v>0</v>
      </c>
      <c r="L573" s="102"/>
      <c r="M573" s="166">
        <v>0.00018</v>
      </c>
      <c r="N573" s="99"/>
    </row>
    <row r="574" spans="1:14" s="103" customFormat="1" ht="12.75">
      <c r="A574" s="97" t="s">
        <v>1553</v>
      </c>
      <c r="B574" s="97" t="s">
        <v>1150</v>
      </c>
      <c r="C574" s="97" t="s">
        <v>1295</v>
      </c>
      <c r="D574" s="97"/>
      <c r="E574" s="109" t="s">
        <v>1296</v>
      </c>
      <c r="F574" s="108" t="s">
        <v>850</v>
      </c>
      <c r="G574" s="108">
        <v>3</v>
      </c>
      <c r="H574" s="108"/>
      <c r="I574" s="100"/>
      <c r="J574" s="101"/>
      <c r="K574" s="126">
        <f t="shared" si="181"/>
        <v>0</v>
      </c>
      <c r="L574" s="102"/>
      <c r="M574" s="166">
        <v>0.0009</v>
      </c>
      <c r="N574" s="99"/>
    </row>
    <row r="575" spans="1:14" s="103" customFormat="1" ht="12.75">
      <c r="A575" s="97" t="s">
        <v>1554</v>
      </c>
      <c r="B575" s="97" t="s">
        <v>1150</v>
      </c>
      <c r="C575" s="97" t="s">
        <v>1297</v>
      </c>
      <c r="D575" s="97"/>
      <c r="E575" s="109" t="s">
        <v>1298</v>
      </c>
      <c r="F575" s="108" t="s">
        <v>850</v>
      </c>
      <c r="G575" s="108">
        <v>1</v>
      </c>
      <c r="H575" s="108"/>
      <c r="I575" s="100"/>
      <c r="J575" s="101"/>
      <c r="K575" s="126">
        <f t="shared" si="181"/>
        <v>0</v>
      </c>
      <c r="L575" s="102"/>
      <c r="M575" s="166">
        <v>0.0006</v>
      </c>
      <c r="N575" s="99"/>
    </row>
    <row r="576" spans="1:14" s="103" customFormat="1" ht="12.75">
      <c r="A576" s="97" t="s">
        <v>1555</v>
      </c>
      <c r="B576" s="97" t="s">
        <v>1150</v>
      </c>
      <c r="C576" s="97" t="s">
        <v>1299</v>
      </c>
      <c r="D576" s="97"/>
      <c r="E576" s="109" t="s">
        <v>1300</v>
      </c>
      <c r="F576" s="108" t="s">
        <v>850</v>
      </c>
      <c r="G576" s="108">
        <v>55</v>
      </c>
      <c r="H576" s="108"/>
      <c r="I576" s="100"/>
      <c r="J576" s="101"/>
      <c r="K576" s="126">
        <f t="shared" si="181"/>
        <v>0</v>
      </c>
      <c r="L576" s="102"/>
      <c r="M576" s="166">
        <v>0.0077</v>
      </c>
      <c r="N576" s="99"/>
    </row>
    <row r="577" spans="1:14" s="103" customFormat="1" ht="12.75">
      <c r="A577" s="97" t="s">
        <v>1556</v>
      </c>
      <c r="B577" s="97" t="s">
        <v>1150</v>
      </c>
      <c r="C577" s="97" t="s">
        <v>1301</v>
      </c>
      <c r="D577" s="97"/>
      <c r="E577" s="109" t="s">
        <v>1302</v>
      </c>
      <c r="F577" s="108" t="s">
        <v>850</v>
      </c>
      <c r="G577" s="108">
        <v>1</v>
      </c>
      <c r="H577" s="108"/>
      <c r="I577" s="100"/>
      <c r="J577" s="101"/>
      <c r="K577" s="126">
        <f t="shared" si="181"/>
        <v>0</v>
      </c>
      <c r="L577" s="102"/>
      <c r="M577" s="166">
        <v>0.00013</v>
      </c>
      <c r="N577" s="99"/>
    </row>
    <row r="578" spans="1:14" s="103" customFormat="1" ht="12.75">
      <c r="A578" s="97" t="s">
        <v>1557</v>
      </c>
      <c r="B578" s="97" t="s">
        <v>1150</v>
      </c>
      <c r="C578" s="97" t="s">
        <v>1303</v>
      </c>
      <c r="D578" s="97"/>
      <c r="E578" s="109" t="s">
        <v>1304</v>
      </c>
      <c r="F578" s="108" t="s">
        <v>850</v>
      </c>
      <c r="G578" s="108">
        <v>1</v>
      </c>
      <c r="H578" s="108"/>
      <c r="I578" s="100"/>
      <c r="J578" s="101"/>
      <c r="K578" s="126">
        <f t="shared" si="181"/>
        <v>0</v>
      </c>
      <c r="L578" s="102"/>
      <c r="M578" s="166">
        <v>0.00025</v>
      </c>
      <c r="N578" s="99"/>
    </row>
    <row r="579" spans="1:14" s="103" customFormat="1" ht="12.75">
      <c r="A579" s="97" t="s">
        <v>1558</v>
      </c>
      <c r="B579" s="97" t="s">
        <v>1150</v>
      </c>
      <c r="C579" s="97" t="s">
        <v>1305</v>
      </c>
      <c r="D579" s="97"/>
      <c r="E579" s="109" t="s">
        <v>1306</v>
      </c>
      <c r="F579" s="108" t="s">
        <v>850</v>
      </c>
      <c r="G579" s="108">
        <v>2</v>
      </c>
      <c r="H579" s="108"/>
      <c r="I579" s="100"/>
      <c r="J579" s="101"/>
      <c r="K579" s="126">
        <f t="shared" si="181"/>
        <v>0</v>
      </c>
      <c r="L579" s="102"/>
      <c r="M579" s="166">
        <v>0.00104</v>
      </c>
      <c r="N579" s="99"/>
    </row>
    <row r="580" spans="1:14" s="103" customFormat="1" ht="12.75">
      <c r="A580" s="97" t="s">
        <v>1559</v>
      </c>
      <c r="B580" s="97" t="s">
        <v>1150</v>
      </c>
      <c r="C580" s="97" t="s">
        <v>1307</v>
      </c>
      <c r="D580" s="97"/>
      <c r="E580" s="109" t="s">
        <v>1308</v>
      </c>
      <c r="F580" s="108" t="s">
        <v>850</v>
      </c>
      <c r="G580" s="108">
        <v>1</v>
      </c>
      <c r="H580" s="108"/>
      <c r="I580" s="100"/>
      <c r="J580" s="101"/>
      <c r="K580" s="126">
        <f t="shared" si="181"/>
        <v>0</v>
      </c>
      <c r="L580" s="102"/>
      <c r="M580" s="166">
        <v>0.00025</v>
      </c>
      <c r="N580" s="99"/>
    </row>
    <row r="581" spans="1:14" s="103" customFormat="1" ht="12.75">
      <c r="A581" s="97" t="s">
        <v>1560</v>
      </c>
      <c r="B581" s="97" t="s">
        <v>1150</v>
      </c>
      <c r="C581" s="97" t="s">
        <v>1309</v>
      </c>
      <c r="D581" s="97"/>
      <c r="E581" s="109" t="s">
        <v>1310</v>
      </c>
      <c r="F581" s="108" t="s">
        <v>850</v>
      </c>
      <c r="G581" s="108">
        <v>55</v>
      </c>
      <c r="H581" s="108"/>
      <c r="I581" s="100"/>
      <c r="J581" s="101"/>
      <c r="K581" s="126">
        <f t="shared" si="181"/>
        <v>0</v>
      </c>
      <c r="L581" s="102"/>
      <c r="M581" s="166">
        <v>0.0473</v>
      </c>
      <c r="N581" s="99"/>
    </row>
    <row r="582" spans="1:14" s="103" customFormat="1" ht="12.75">
      <c r="A582" s="97" t="s">
        <v>1561</v>
      </c>
      <c r="B582" s="97" t="s">
        <v>1150</v>
      </c>
      <c r="C582" s="97" t="s">
        <v>1311</v>
      </c>
      <c r="D582" s="97"/>
      <c r="E582" s="109" t="s">
        <v>1312</v>
      </c>
      <c r="F582" s="108" t="s">
        <v>850</v>
      </c>
      <c r="G582" s="108">
        <v>27</v>
      </c>
      <c r="H582" s="108"/>
      <c r="I582" s="100"/>
      <c r="J582" s="101"/>
      <c r="K582" s="126">
        <f t="shared" si="181"/>
        <v>0</v>
      </c>
      <c r="L582" s="102"/>
      <c r="M582" s="166">
        <v>0.00594</v>
      </c>
      <c r="N582" s="99"/>
    </row>
    <row r="583" spans="1:14" s="103" customFormat="1" ht="12.75">
      <c r="A583" s="97" t="s">
        <v>1562</v>
      </c>
      <c r="B583" s="97" t="s">
        <v>1150</v>
      </c>
      <c r="C583" s="97" t="s">
        <v>1313</v>
      </c>
      <c r="D583" s="97"/>
      <c r="E583" s="109" t="s">
        <v>1314</v>
      </c>
      <c r="F583" s="108" t="s">
        <v>850</v>
      </c>
      <c r="G583" s="108">
        <v>1</v>
      </c>
      <c r="H583" s="108"/>
      <c r="I583" s="100"/>
      <c r="J583" s="101"/>
      <c r="K583" s="126">
        <f t="shared" si="181"/>
        <v>0</v>
      </c>
      <c r="L583" s="102"/>
      <c r="M583" s="166">
        <v>0.00019</v>
      </c>
      <c r="N583" s="99"/>
    </row>
    <row r="584" spans="1:14" s="103" customFormat="1" ht="12.75">
      <c r="A584" s="97" t="s">
        <v>1563</v>
      </c>
      <c r="B584" s="97" t="s">
        <v>1150</v>
      </c>
      <c r="C584" s="97" t="s">
        <v>1315</v>
      </c>
      <c r="D584" s="97"/>
      <c r="E584" s="109" t="s">
        <v>1316</v>
      </c>
      <c r="F584" s="108" t="s">
        <v>850</v>
      </c>
      <c r="G584" s="108">
        <v>1</v>
      </c>
      <c r="H584" s="108"/>
      <c r="I584" s="100"/>
      <c r="J584" s="101"/>
      <c r="K584" s="126">
        <f t="shared" si="181"/>
        <v>0</v>
      </c>
      <c r="L584" s="102"/>
      <c r="M584" s="166">
        <v>0.00057</v>
      </c>
      <c r="N584" s="99"/>
    </row>
    <row r="585" spans="1:14" s="103" customFormat="1" ht="12.75">
      <c r="A585" s="97" t="s">
        <v>1564</v>
      </c>
      <c r="B585" s="97" t="s">
        <v>1150</v>
      </c>
      <c r="C585" s="97" t="s">
        <v>1317</v>
      </c>
      <c r="D585" s="97"/>
      <c r="E585" s="109" t="s">
        <v>1318</v>
      </c>
      <c r="F585" s="108" t="s">
        <v>850</v>
      </c>
      <c r="G585" s="108">
        <v>2</v>
      </c>
      <c r="H585" s="108"/>
      <c r="I585" s="100"/>
      <c r="J585" s="101"/>
      <c r="K585" s="126">
        <f t="shared" si="181"/>
        <v>0</v>
      </c>
      <c r="L585" s="102"/>
      <c r="M585" s="166">
        <v>0.00228</v>
      </c>
      <c r="N585" s="99"/>
    </row>
    <row r="586" spans="1:14" s="103" customFormat="1" ht="12.75">
      <c r="A586" s="97" t="s">
        <v>1565</v>
      </c>
      <c r="B586" s="97" t="s">
        <v>1150</v>
      </c>
      <c r="C586" s="97" t="s">
        <v>1319</v>
      </c>
      <c r="D586" s="97"/>
      <c r="E586" s="109" t="s">
        <v>1320</v>
      </c>
      <c r="F586" s="108" t="s">
        <v>850</v>
      </c>
      <c r="G586" s="108">
        <v>6</v>
      </c>
      <c r="H586" s="108"/>
      <c r="I586" s="100"/>
      <c r="J586" s="101"/>
      <c r="K586" s="126">
        <f t="shared" si="181"/>
        <v>0</v>
      </c>
      <c r="L586" s="102"/>
      <c r="M586" s="166">
        <v>0.00126</v>
      </c>
      <c r="N586" s="99"/>
    </row>
    <row r="587" spans="1:14" s="103" customFormat="1" ht="12.75">
      <c r="A587" s="97" t="s">
        <v>1566</v>
      </c>
      <c r="B587" s="97" t="s">
        <v>1150</v>
      </c>
      <c r="C587" s="97" t="s">
        <v>1321</v>
      </c>
      <c r="D587" s="97"/>
      <c r="E587" s="109" t="s">
        <v>1322</v>
      </c>
      <c r="F587" s="108" t="s">
        <v>850</v>
      </c>
      <c r="G587" s="108">
        <v>2</v>
      </c>
      <c r="H587" s="108"/>
      <c r="I587" s="100"/>
      <c r="J587" s="101"/>
      <c r="K587" s="126">
        <f t="shared" si="181"/>
        <v>0</v>
      </c>
      <c r="L587" s="102"/>
      <c r="M587" s="166">
        <v>0.00068</v>
      </c>
      <c r="N587" s="99"/>
    </row>
    <row r="588" spans="1:14" s="103" customFormat="1" ht="12.75">
      <c r="A588" s="97" t="s">
        <v>1567</v>
      </c>
      <c r="B588" s="97" t="s">
        <v>1150</v>
      </c>
      <c r="C588" s="97" t="s">
        <v>1323</v>
      </c>
      <c r="D588" s="97"/>
      <c r="E588" s="109" t="s">
        <v>1324</v>
      </c>
      <c r="F588" s="108" t="s">
        <v>850</v>
      </c>
      <c r="G588" s="108">
        <v>4</v>
      </c>
      <c r="H588" s="108"/>
      <c r="I588" s="100"/>
      <c r="J588" s="101"/>
      <c r="K588" s="126">
        <f t="shared" si="181"/>
        <v>0</v>
      </c>
      <c r="L588" s="102"/>
      <c r="M588" s="166">
        <v>0.002</v>
      </c>
      <c r="N588" s="99"/>
    </row>
    <row r="589" spans="1:14" s="103" customFormat="1" ht="12.75">
      <c r="A589" s="97" t="s">
        <v>1568</v>
      </c>
      <c r="B589" s="97" t="s">
        <v>1150</v>
      </c>
      <c r="C589" s="97" t="s">
        <v>1325</v>
      </c>
      <c r="D589" s="97"/>
      <c r="E589" s="109" t="s">
        <v>1326</v>
      </c>
      <c r="F589" s="108" t="s">
        <v>850</v>
      </c>
      <c r="G589" s="108">
        <v>6</v>
      </c>
      <c r="H589" s="108"/>
      <c r="I589" s="100"/>
      <c r="J589" s="101"/>
      <c r="K589" s="126">
        <f t="shared" si="181"/>
        <v>0</v>
      </c>
      <c r="L589" s="102"/>
      <c r="M589" s="166">
        <v>0.00642</v>
      </c>
      <c r="N589" s="99"/>
    </row>
    <row r="590" spans="1:14" s="103" customFormat="1" ht="12.75">
      <c r="A590" s="97" t="s">
        <v>1569</v>
      </c>
      <c r="B590" s="97" t="s">
        <v>1150</v>
      </c>
      <c r="C590" s="97" t="s">
        <v>1327</v>
      </c>
      <c r="D590" s="97"/>
      <c r="E590" s="109" t="s">
        <v>1328</v>
      </c>
      <c r="F590" s="108" t="s">
        <v>850</v>
      </c>
      <c r="G590" s="108">
        <v>1</v>
      </c>
      <c r="H590" s="108"/>
      <c r="I590" s="100"/>
      <c r="J590" s="101"/>
      <c r="K590" s="126">
        <f t="shared" si="181"/>
        <v>0</v>
      </c>
      <c r="L590" s="102"/>
      <c r="M590" s="166">
        <v>0.00154</v>
      </c>
      <c r="N590" s="99"/>
    </row>
    <row r="591" spans="1:14" s="103" customFormat="1" ht="12.75">
      <c r="A591" s="97" t="s">
        <v>1570</v>
      </c>
      <c r="B591" s="97" t="s">
        <v>1150</v>
      </c>
      <c r="C591" s="97" t="s">
        <v>1329</v>
      </c>
      <c r="D591" s="97"/>
      <c r="E591" s="109" t="s">
        <v>1330</v>
      </c>
      <c r="F591" s="108" t="s">
        <v>850</v>
      </c>
      <c r="G591" s="108">
        <v>1</v>
      </c>
      <c r="H591" s="108"/>
      <c r="I591" s="100"/>
      <c r="J591" s="101"/>
      <c r="K591" s="126">
        <f t="shared" si="181"/>
        <v>0</v>
      </c>
      <c r="L591" s="102"/>
      <c r="M591" s="166">
        <v>0.00155</v>
      </c>
      <c r="N591" s="99"/>
    </row>
    <row r="592" spans="1:14" s="103" customFormat="1" ht="12.75">
      <c r="A592" s="97" t="s">
        <v>1571</v>
      </c>
      <c r="B592" s="97" t="s">
        <v>1150</v>
      </c>
      <c r="C592" s="97" t="s">
        <v>1331</v>
      </c>
      <c r="D592" s="97"/>
      <c r="E592" s="109" t="s">
        <v>1332</v>
      </c>
      <c r="F592" s="108" t="s">
        <v>850</v>
      </c>
      <c r="G592" s="108">
        <v>2</v>
      </c>
      <c r="H592" s="108"/>
      <c r="I592" s="100"/>
      <c r="J592" s="101"/>
      <c r="K592" s="126">
        <f t="shared" si="181"/>
        <v>0</v>
      </c>
      <c r="L592" s="102"/>
      <c r="M592" s="166">
        <v>0.00344</v>
      </c>
      <c r="N592" s="99"/>
    </row>
    <row r="593" spans="1:14" s="103" customFormat="1" ht="12.75">
      <c r="A593" s="97" t="s">
        <v>1572</v>
      </c>
      <c r="B593" s="97" t="s">
        <v>1150</v>
      </c>
      <c r="C593" s="97" t="s">
        <v>1333</v>
      </c>
      <c r="D593" s="97"/>
      <c r="E593" s="109" t="s">
        <v>1334</v>
      </c>
      <c r="F593" s="108" t="s">
        <v>850</v>
      </c>
      <c r="G593" s="108">
        <v>5</v>
      </c>
      <c r="H593" s="108"/>
      <c r="I593" s="100"/>
      <c r="J593" s="101"/>
      <c r="K593" s="126">
        <f t="shared" si="181"/>
        <v>0</v>
      </c>
      <c r="L593" s="102"/>
      <c r="M593" s="166">
        <v>5E-05</v>
      </c>
      <c r="N593" s="99"/>
    </row>
    <row r="594" spans="1:14" s="103" customFormat="1" ht="25.5">
      <c r="A594" s="97" t="s">
        <v>1573</v>
      </c>
      <c r="B594" s="97" t="s">
        <v>1150</v>
      </c>
      <c r="C594" s="97" t="s">
        <v>1335</v>
      </c>
      <c r="D594" s="97"/>
      <c r="E594" s="109" t="s">
        <v>1671</v>
      </c>
      <c r="F594" s="108" t="s">
        <v>850</v>
      </c>
      <c r="G594" s="108">
        <v>12</v>
      </c>
      <c r="H594" s="108"/>
      <c r="I594" s="100"/>
      <c r="J594" s="101"/>
      <c r="K594" s="126">
        <f t="shared" si="181"/>
        <v>0</v>
      </c>
      <c r="L594" s="102"/>
      <c r="M594" s="166">
        <v>0.00684</v>
      </c>
      <c r="N594" s="99"/>
    </row>
    <row r="595" spans="1:14" s="103" customFormat="1" ht="12.75">
      <c r="A595" s="97" t="s">
        <v>1574</v>
      </c>
      <c r="B595" s="97" t="s">
        <v>1150</v>
      </c>
      <c r="C595" s="97" t="s">
        <v>1336</v>
      </c>
      <c r="D595" s="97"/>
      <c r="E595" s="109" t="s">
        <v>1337</v>
      </c>
      <c r="F595" s="108" t="s">
        <v>850</v>
      </c>
      <c r="G595" s="108">
        <v>1</v>
      </c>
      <c r="H595" s="108"/>
      <c r="I595" s="100"/>
      <c r="J595" s="101"/>
      <c r="K595" s="126">
        <f t="shared" si="181"/>
        <v>0</v>
      </c>
      <c r="L595" s="102"/>
      <c r="M595" s="166">
        <v>0.002</v>
      </c>
      <c r="N595" s="99"/>
    </row>
    <row r="596" spans="1:14" s="103" customFormat="1" ht="12.75">
      <c r="A596" s="97" t="s">
        <v>1575</v>
      </c>
      <c r="B596" s="97" t="s">
        <v>1150</v>
      </c>
      <c r="C596" s="97" t="s">
        <v>1338</v>
      </c>
      <c r="D596" s="97"/>
      <c r="E596" s="109" t="s">
        <v>1339</v>
      </c>
      <c r="F596" s="108" t="s">
        <v>850</v>
      </c>
      <c r="G596" s="108">
        <v>1</v>
      </c>
      <c r="H596" s="108"/>
      <c r="I596" s="100"/>
      <c r="J596" s="101"/>
      <c r="K596" s="126">
        <f t="shared" si="181"/>
        <v>0</v>
      </c>
      <c r="L596" s="102"/>
      <c r="M596" s="166">
        <v>0</v>
      </c>
      <c r="N596" s="99"/>
    </row>
    <row r="597" spans="1:14" s="103" customFormat="1" ht="25.5">
      <c r="A597" s="97" t="s">
        <v>1576</v>
      </c>
      <c r="B597" s="97" t="s">
        <v>1150</v>
      </c>
      <c r="C597" s="97" t="s">
        <v>1340</v>
      </c>
      <c r="D597" s="97"/>
      <c r="E597" s="109" t="s">
        <v>1341</v>
      </c>
      <c r="F597" s="108" t="s">
        <v>850</v>
      </c>
      <c r="G597" s="108">
        <v>1</v>
      </c>
      <c r="H597" s="108"/>
      <c r="I597" s="100"/>
      <c r="J597" s="101"/>
      <c r="K597" s="126">
        <f t="shared" si="181"/>
        <v>0</v>
      </c>
      <c r="L597" s="102"/>
      <c r="M597" s="166">
        <v>0.00147</v>
      </c>
      <c r="N597" s="99"/>
    </row>
    <row r="598" spans="1:14" s="103" customFormat="1" ht="12.75">
      <c r="A598" s="97" t="s">
        <v>1577</v>
      </c>
      <c r="B598" s="97" t="s">
        <v>1150</v>
      </c>
      <c r="C598" s="97" t="s">
        <v>1342</v>
      </c>
      <c r="D598" s="97"/>
      <c r="E598" s="109" t="s">
        <v>1343</v>
      </c>
      <c r="F598" s="108" t="s">
        <v>850</v>
      </c>
      <c r="G598" s="108">
        <v>1</v>
      </c>
      <c r="H598" s="108"/>
      <c r="I598" s="100"/>
      <c r="J598" s="101"/>
      <c r="K598" s="126">
        <f t="shared" si="181"/>
        <v>0</v>
      </c>
      <c r="L598" s="102"/>
      <c r="M598" s="166">
        <v>0.00075</v>
      </c>
      <c r="N598" s="99"/>
    </row>
    <row r="599" spans="1:14" s="103" customFormat="1" ht="12.75">
      <c r="A599" s="97" t="s">
        <v>1578</v>
      </c>
      <c r="B599" s="97" t="s">
        <v>1150</v>
      </c>
      <c r="C599" s="97" t="s">
        <v>1344</v>
      </c>
      <c r="D599" s="97"/>
      <c r="E599" s="109" t="s">
        <v>1345</v>
      </c>
      <c r="F599" s="108" t="s">
        <v>850</v>
      </c>
      <c r="G599" s="108">
        <v>1</v>
      </c>
      <c r="H599" s="108"/>
      <c r="I599" s="100"/>
      <c r="J599" s="101"/>
      <c r="K599" s="126">
        <f t="shared" si="181"/>
        <v>0</v>
      </c>
      <c r="L599" s="102"/>
      <c r="M599" s="166">
        <v>0.00133</v>
      </c>
      <c r="N599" s="99"/>
    </row>
    <row r="600" spans="1:14" s="103" customFormat="1" ht="12.75">
      <c r="A600" s="97" t="s">
        <v>1579</v>
      </c>
      <c r="B600" s="97" t="s">
        <v>1150</v>
      </c>
      <c r="C600" s="97" t="s">
        <v>1346</v>
      </c>
      <c r="D600" s="97"/>
      <c r="E600" s="109" t="s">
        <v>1347</v>
      </c>
      <c r="F600" s="108" t="s">
        <v>850</v>
      </c>
      <c r="G600" s="108">
        <v>1</v>
      </c>
      <c r="H600" s="108"/>
      <c r="I600" s="100"/>
      <c r="J600" s="101"/>
      <c r="K600" s="126">
        <f t="shared" si="181"/>
        <v>0</v>
      </c>
      <c r="L600" s="102"/>
      <c r="M600" s="166">
        <v>0</v>
      </c>
      <c r="N600" s="99"/>
    </row>
    <row r="601" spans="1:14" s="103" customFormat="1" ht="12.75">
      <c r="A601" s="97" t="s">
        <v>1580</v>
      </c>
      <c r="B601" s="97" t="s">
        <v>1150</v>
      </c>
      <c r="C601" s="97" t="s">
        <v>1348</v>
      </c>
      <c r="D601" s="97"/>
      <c r="E601" s="109" t="s">
        <v>1349</v>
      </c>
      <c r="F601" s="108" t="s">
        <v>850</v>
      </c>
      <c r="G601" s="108">
        <v>12</v>
      </c>
      <c r="H601" s="108"/>
      <c r="I601" s="100"/>
      <c r="J601" s="101"/>
      <c r="K601" s="126">
        <f t="shared" si="181"/>
        <v>0</v>
      </c>
      <c r="L601" s="102"/>
      <c r="M601" s="166">
        <v>0.00612</v>
      </c>
      <c r="N601" s="99"/>
    </row>
    <row r="602" spans="1:14" s="103" customFormat="1" ht="12.75">
      <c r="A602" s="97" t="s">
        <v>1581</v>
      </c>
      <c r="B602" s="97" t="s">
        <v>1150</v>
      </c>
      <c r="C602" s="97" t="s">
        <v>1350</v>
      </c>
      <c r="D602" s="97"/>
      <c r="E602" s="109" t="s">
        <v>1351</v>
      </c>
      <c r="F602" s="108" t="s">
        <v>850</v>
      </c>
      <c r="G602" s="108">
        <v>12</v>
      </c>
      <c r="H602" s="108"/>
      <c r="I602" s="100"/>
      <c r="J602" s="101"/>
      <c r="K602" s="126">
        <f t="shared" si="181"/>
        <v>0</v>
      </c>
      <c r="L602" s="102"/>
      <c r="M602" s="166">
        <v>0.0018</v>
      </c>
      <c r="N602" s="99"/>
    </row>
    <row r="603" spans="1:14" s="119" customFormat="1" ht="12.75">
      <c r="A603" s="110"/>
      <c r="B603" s="110" t="s">
        <v>1150</v>
      </c>
      <c r="C603" s="110" t="s">
        <v>1352</v>
      </c>
      <c r="D603" s="110"/>
      <c r="E603" s="121" t="s">
        <v>1353</v>
      </c>
      <c r="F603" s="114"/>
      <c r="G603" s="114"/>
      <c r="H603" s="114"/>
      <c r="I603" s="115"/>
      <c r="J603" s="116"/>
      <c r="K603" s="131">
        <f>SUM(K604:K653)</f>
        <v>0</v>
      </c>
      <c r="L603" s="117"/>
      <c r="M603" s="165">
        <v>2.48023</v>
      </c>
      <c r="N603" s="118"/>
    </row>
    <row r="604" spans="1:14" s="103" customFormat="1" ht="12.75">
      <c r="A604" s="97" t="s">
        <v>1582</v>
      </c>
      <c r="B604" s="97" t="s">
        <v>1150</v>
      </c>
      <c r="C604" s="97" t="s">
        <v>1354</v>
      </c>
      <c r="D604" s="97"/>
      <c r="E604" s="109" t="s">
        <v>1355</v>
      </c>
      <c r="F604" s="108" t="s">
        <v>850</v>
      </c>
      <c r="G604" s="108">
        <v>55</v>
      </c>
      <c r="H604" s="108"/>
      <c r="I604" s="100"/>
      <c r="J604" s="101"/>
      <c r="K604" s="126">
        <f>G604*H604</f>
        <v>0</v>
      </c>
      <c r="L604" s="102"/>
      <c r="M604" s="166">
        <v>0</v>
      </c>
      <c r="N604" s="99"/>
    </row>
    <row r="605" spans="1:14" s="103" customFormat="1" ht="12.75">
      <c r="A605" s="97" t="s">
        <v>1583</v>
      </c>
      <c r="B605" s="97" t="s">
        <v>1150</v>
      </c>
      <c r="C605" s="97" t="s">
        <v>1356</v>
      </c>
      <c r="D605" s="97"/>
      <c r="E605" s="109" t="s">
        <v>1357</v>
      </c>
      <c r="F605" s="108" t="s">
        <v>847</v>
      </c>
      <c r="G605" s="108">
        <v>370</v>
      </c>
      <c r="H605" s="108"/>
      <c r="I605" s="100"/>
      <c r="J605" s="101"/>
      <c r="K605" s="126">
        <f aca="true" t="shared" si="182" ref="K605:K653">G605*H605</f>
        <v>0</v>
      </c>
      <c r="L605" s="102"/>
      <c r="M605" s="166">
        <v>0</v>
      </c>
      <c r="N605" s="99"/>
    </row>
    <row r="606" spans="1:14" s="103" customFormat="1" ht="25.5">
      <c r="A606" s="97" t="s">
        <v>1584</v>
      </c>
      <c r="B606" s="97" t="s">
        <v>1150</v>
      </c>
      <c r="C606" s="97" t="s">
        <v>1358</v>
      </c>
      <c r="D606" s="97"/>
      <c r="E606" s="109" t="s">
        <v>1359</v>
      </c>
      <c r="F606" s="108" t="s">
        <v>850</v>
      </c>
      <c r="G606" s="108">
        <v>1</v>
      </c>
      <c r="H606" s="108"/>
      <c r="I606" s="100"/>
      <c r="J606" s="101"/>
      <c r="K606" s="126">
        <f t="shared" si="182"/>
        <v>0</v>
      </c>
      <c r="L606" s="102"/>
      <c r="M606" s="166">
        <v>0.0072</v>
      </c>
      <c r="N606" s="99"/>
    </row>
    <row r="607" spans="1:14" s="103" customFormat="1" ht="25.5">
      <c r="A607" s="97" t="s">
        <v>1585</v>
      </c>
      <c r="B607" s="97" t="s">
        <v>1150</v>
      </c>
      <c r="C607" s="97" t="s">
        <v>1360</v>
      </c>
      <c r="D607" s="97"/>
      <c r="E607" s="109" t="s">
        <v>1361</v>
      </c>
      <c r="F607" s="108" t="s">
        <v>850</v>
      </c>
      <c r="G607" s="108">
        <v>1</v>
      </c>
      <c r="H607" s="108"/>
      <c r="I607" s="100"/>
      <c r="J607" s="101"/>
      <c r="K607" s="126">
        <f t="shared" si="182"/>
        <v>0</v>
      </c>
      <c r="L607" s="102"/>
      <c r="M607" s="166">
        <v>0.01088</v>
      </c>
      <c r="N607" s="99"/>
    </row>
    <row r="608" spans="1:14" s="103" customFormat="1" ht="25.5">
      <c r="A608" s="97" t="s">
        <v>1586</v>
      </c>
      <c r="B608" s="97" t="s">
        <v>1150</v>
      </c>
      <c r="C608" s="97" t="s">
        <v>1362</v>
      </c>
      <c r="D608" s="97"/>
      <c r="E608" s="109" t="s">
        <v>1363</v>
      </c>
      <c r="F608" s="108" t="s">
        <v>850</v>
      </c>
      <c r="G608" s="108">
        <v>1</v>
      </c>
      <c r="H608" s="108"/>
      <c r="I608" s="100"/>
      <c r="J608" s="101"/>
      <c r="K608" s="126">
        <f t="shared" si="182"/>
        <v>0</v>
      </c>
      <c r="L608" s="102"/>
      <c r="M608" s="166">
        <v>0.0154</v>
      </c>
      <c r="N608" s="99"/>
    </row>
    <row r="609" spans="1:14" s="103" customFormat="1" ht="25.5">
      <c r="A609" s="97" t="s">
        <v>1587</v>
      </c>
      <c r="B609" s="97" t="s">
        <v>1150</v>
      </c>
      <c r="C609" s="97" t="s">
        <v>1364</v>
      </c>
      <c r="D609" s="97"/>
      <c r="E609" s="109" t="s">
        <v>1365</v>
      </c>
      <c r="F609" s="108" t="s">
        <v>850</v>
      </c>
      <c r="G609" s="108">
        <v>1</v>
      </c>
      <c r="H609" s="108"/>
      <c r="I609" s="100"/>
      <c r="J609" s="101"/>
      <c r="K609" s="126">
        <f t="shared" si="182"/>
        <v>0</v>
      </c>
      <c r="L609" s="102"/>
      <c r="M609" s="166">
        <v>0.01035</v>
      </c>
      <c r="N609" s="99"/>
    </row>
    <row r="610" spans="1:14" s="103" customFormat="1" ht="25.5">
      <c r="A610" s="97" t="s">
        <v>1588</v>
      </c>
      <c r="B610" s="97" t="s">
        <v>1150</v>
      </c>
      <c r="C610" s="97" t="s">
        <v>1366</v>
      </c>
      <c r="D610" s="97"/>
      <c r="E610" s="109" t="s">
        <v>1367</v>
      </c>
      <c r="F610" s="108" t="s">
        <v>850</v>
      </c>
      <c r="G610" s="108">
        <v>1</v>
      </c>
      <c r="H610" s="108"/>
      <c r="I610" s="100"/>
      <c r="J610" s="101"/>
      <c r="K610" s="126">
        <f t="shared" si="182"/>
        <v>0</v>
      </c>
      <c r="L610" s="102"/>
      <c r="M610" s="166">
        <v>0.0145</v>
      </c>
      <c r="N610" s="99"/>
    </row>
    <row r="611" spans="1:14" s="103" customFormat="1" ht="25.5">
      <c r="A611" s="97" t="s">
        <v>1589</v>
      </c>
      <c r="B611" s="97" t="s">
        <v>1150</v>
      </c>
      <c r="C611" s="97" t="s">
        <v>1368</v>
      </c>
      <c r="D611" s="97"/>
      <c r="E611" s="109" t="s">
        <v>1369</v>
      </c>
      <c r="F611" s="108" t="s">
        <v>850</v>
      </c>
      <c r="G611" s="108">
        <v>2</v>
      </c>
      <c r="H611" s="108"/>
      <c r="I611" s="100"/>
      <c r="J611" s="101"/>
      <c r="K611" s="126">
        <f t="shared" si="182"/>
        <v>0</v>
      </c>
      <c r="L611" s="102"/>
      <c r="M611" s="166">
        <v>0.0454</v>
      </c>
      <c r="N611" s="99"/>
    </row>
    <row r="612" spans="1:14" s="103" customFormat="1" ht="25.5">
      <c r="A612" s="97" t="s">
        <v>1590</v>
      </c>
      <c r="B612" s="97" t="s">
        <v>1150</v>
      </c>
      <c r="C612" s="97" t="s">
        <v>1370</v>
      </c>
      <c r="D612" s="97"/>
      <c r="E612" s="109" t="s">
        <v>1371</v>
      </c>
      <c r="F612" s="108" t="s">
        <v>850</v>
      </c>
      <c r="G612" s="108">
        <v>2</v>
      </c>
      <c r="H612" s="108"/>
      <c r="I612" s="100"/>
      <c r="J612" s="101"/>
      <c r="K612" s="126">
        <f t="shared" si="182"/>
        <v>0</v>
      </c>
      <c r="L612" s="102"/>
      <c r="M612" s="166">
        <v>0.0494</v>
      </c>
      <c r="N612" s="99"/>
    </row>
    <row r="613" spans="1:14" s="103" customFormat="1" ht="25.5">
      <c r="A613" s="97" t="s">
        <v>1591</v>
      </c>
      <c r="B613" s="97" t="s">
        <v>1150</v>
      </c>
      <c r="C613" s="97" t="s">
        <v>1372</v>
      </c>
      <c r="D613" s="97"/>
      <c r="E613" s="109" t="s">
        <v>1373</v>
      </c>
      <c r="F613" s="108" t="s">
        <v>850</v>
      </c>
      <c r="G613" s="108">
        <v>2</v>
      </c>
      <c r="H613" s="108"/>
      <c r="I613" s="100"/>
      <c r="J613" s="101"/>
      <c r="K613" s="126">
        <f t="shared" si="182"/>
        <v>0</v>
      </c>
      <c r="L613" s="102"/>
      <c r="M613" s="166">
        <v>0.0536</v>
      </c>
      <c r="N613" s="99"/>
    </row>
    <row r="614" spans="1:14" s="103" customFormat="1" ht="25.5">
      <c r="A614" s="97" t="s">
        <v>1592</v>
      </c>
      <c r="B614" s="97" t="s">
        <v>1150</v>
      </c>
      <c r="C614" s="97" t="s">
        <v>1374</v>
      </c>
      <c r="D614" s="97"/>
      <c r="E614" s="109" t="s">
        <v>1375</v>
      </c>
      <c r="F614" s="108" t="s">
        <v>850</v>
      </c>
      <c r="G614" s="108">
        <v>1</v>
      </c>
      <c r="H614" s="108"/>
      <c r="I614" s="100"/>
      <c r="J614" s="101"/>
      <c r="K614" s="126">
        <f t="shared" si="182"/>
        <v>0</v>
      </c>
      <c r="L614" s="102"/>
      <c r="M614" s="166">
        <v>0.035</v>
      </c>
      <c r="N614" s="99"/>
    </row>
    <row r="615" spans="1:14" s="103" customFormat="1" ht="25.5">
      <c r="A615" s="97" t="s">
        <v>1593</v>
      </c>
      <c r="B615" s="97" t="s">
        <v>1150</v>
      </c>
      <c r="C615" s="97" t="s">
        <v>1376</v>
      </c>
      <c r="D615" s="97"/>
      <c r="E615" s="109" t="s">
        <v>1377</v>
      </c>
      <c r="F615" s="108" t="s">
        <v>850</v>
      </c>
      <c r="G615" s="108">
        <v>1</v>
      </c>
      <c r="H615" s="108"/>
      <c r="I615" s="100"/>
      <c r="J615" s="101"/>
      <c r="K615" s="126">
        <f t="shared" si="182"/>
        <v>0</v>
      </c>
      <c r="L615" s="102"/>
      <c r="M615" s="166">
        <v>0.01942</v>
      </c>
      <c r="N615" s="99"/>
    </row>
    <row r="616" spans="1:14" s="103" customFormat="1" ht="25.5">
      <c r="A616" s="97" t="s">
        <v>1594</v>
      </c>
      <c r="B616" s="97" t="s">
        <v>1150</v>
      </c>
      <c r="C616" s="97" t="s">
        <v>1378</v>
      </c>
      <c r="D616" s="97"/>
      <c r="E616" s="109" t="s">
        <v>1379</v>
      </c>
      <c r="F616" s="108" t="s">
        <v>850</v>
      </c>
      <c r="G616" s="108">
        <v>2</v>
      </c>
      <c r="H616" s="108"/>
      <c r="I616" s="100"/>
      <c r="J616" s="101"/>
      <c r="K616" s="126">
        <f t="shared" si="182"/>
        <v>0</v>
      </c>
      <c r="L616" s="102"/>
      <c r="M616" s="166">
        <v>0.04458</v>
      </c>
      <c r="N616" s="99"/>
    </row>
    <row r="617" spans="1:14" s="103" customFormat="1" ht="25.5">
      <c r="A617" s="97" t="s">
        <v>1595</v>
      </c>
      <c r="B617" s="97" t="s">
        <v>1150</v>
      </c>
      <c r="C617" s="97" t="s">
        <v>1380</v>
      </c>
      <c r="D617" s="97"/>
      <c r="E617" s="109" t="s">
        <v>1381</v>
      </c>
      <c r="F617" s="108" t="s">
        <v>850</v>
      </c>
      <c r="G617" s="108">
        <v>2</v>
      </c>
      <c r="H617" s="108"/>
      <c r="I617" s="100"/>
      <c r="J617" s="101"/>
      <c r="K617" s="126">
        <f t="shared" si="182"/>
        <v>0</v>
      </c>
      <c r="L617" s="102"/>
      <c r="M617" s="166">
        <v>0.05032</v>
      </c>
      <c r="N617" s="99"/>
    </row>
    <row r="618" spans="1:14" s="103" customFormat="1" ht="25.5">
      <c r="A618" s="97" t="s">
        <v>1596</v>
      </c>
      <c r="B618" s="97" t="s">
        <v>1150</v>
      </c>
      <c r="C618" s="97" t="s">
        <v>1382</v>
      </c>
      <c r="D618" s="97"/>
      <c r="E618" s="109" t="s">
        <v>1383</v>
      </c>
      <c r="F618" s="108" t="s">
        <v>850</v>
      </c>
      <c r="G618" s="108">
        <v>2</v>
      </c>
      <c r="H618" s="108"/>
      <c r="I618" s="100"/>
      <c r="J618" s="101"/>
      <c r="K618" s="126">
        <f t="shared" si="182"/>
        <v>0</v>
      </c>
      <c r="L618" s="102"/>
      <c r="M618" s="166">
        <v>0.05606</v>
      </c>
      <c r="N618" s="99"/>
    </row>
    <row r="619" spans="1:14" s="103" customFormat="1" ht="25.5">
      <c r="A619" s="97" t="s">
        <v>1597</v>
      </c>
      <c r="B619" s="97" t="s">
        <v>1150</v>
      </c>
      <c r="C619" s="97" t="s">
        <v>1384</v>
      </c>
      <c r="D619" s="97"/>
      <c r="E619" s="109" t="s">
        <v>1385</v>
      </c>
      <c r="F619" s="108" t="s">
        <v>850</v>
      </c>
      <c r="G619" s="108">
        <v>3</v>
      </c>
      <c r="H619" s="108"/>
      <c r="I619" s="100"/>
      <c r="J619" s="101"/>
      <c r="K619" s="126">
        <f t="shared" si="182"/>
        <v>0</v>
      </c>
      <c r="L619" s="102"/>
      <c r="M619" s="166">
        <v>0.0927</v>
      </c>
      <c r="N619" s="99"/>
    </row>
    <row r="620" spans="1:14" s="103" customFormat="1" ht="25.5">
      <c r="A620" s="97" t="s">
        <v>1598</v>
      </c>
      <c r="B620" s="97" t="s">
        <v>1150</v>
      </c>
      <c r="C620" s="97" t="s">
        <v>1386</v>
      </c>
      <c r="D620" s="97"/>
      <c r="E620" s="109" t="s">
        <v>1387</v>
      </c>
      <c r="F620" s="108" t="s">
        <v>850</v>
      </c>
      <c r="G620" s="108">
        <v>1</v>
      </c>
      <c r="H620" s="108"/>
      <c r="I620" s="100"/>
      <c r="J620" s="101"/>
      <c r="K620" s="126">
        <f t="shared" si="182"/>
        <v>0</v>
      </c>
      <c r="L620" s="102"/>
      <c r="M620" s="166">
        <v>0.0332</v>
      </c>
      <c r="N620" s="99"/>
    </row>
    <row r="621" spans="1:14" s="103" customFormat="1" ht="25.5">
      <c r="A621" s="97" t="s">
        <v>1599</v>
      </c>
      <c r="B621" s="97" t="s">
        <v>1150</v>
      </c>
      <c r="C621" s="97" t="s">
        <v>1388</v>
      </c>
      <c r="D621" s="97"/>
      <c r="E621" s="109" t="s">
        <v>1389</v>
      </c>
      <c r="F621" s="108" t="s">
        <v>850</v>
      </c>
      <c r="G621" s="108">
        <v>1</v>
      </c>
      <c r="H621" s="108"/>
      <c r="I621" s="100"/>
      <c r="J621" s="101"/>
      <c r="K621" s="126">
        <f t="shared" si="182"/>
        <v>0</v>
      </c>
      <c r="L621" s="102"/>
      <c r="M621" s="166">
        <v>0.03664</v>
      </c>
      <c r="N621" s="99"/>
    </row>
    <row r="622" spans="1:14" s="103" customFormat="1" ht="25.5">
      <c r="A622" s="97" t="s">
        <v>1600</v>
      </c>
      <c r="B622" s="97" t="s">
        <v>1150</v>
      </c>
      <c r="C622" s="97" t="s">
        <v>1390</v>
      </c>
      <c r="D622" s="97"/>
      <c r="E622" s="109" t="s">
        <v>1391</v>
      </c>
      <c r="F622" s="108" t="s">
        <v>850</v>
      </c>
      <c r="G622" s="108">
        <v>7</v>
      </c>
      <c r="H622" s="108"/>
      <c r="I622" s="100"/>
      <c r="J622" s="101"/>
      <c r="K622" s="126">
        <f t="shared" si="182"/>
        <v>0</v>
      </c>
      <c r="L622" s="102"/>
      <c r="M622" s="166">
        <v>0.29666</v>
      </c>
      <c r="N622" s="99"/>
    </row>
    <row r="623" spans="1:14" s="103" customFormat="1" ht="25.5">
      <c r="A623" s="97" t="s">
        <v>1601</v>
      </c>
      <c r="B623" s="97" t="s">
        <v>1150</v>
      </c>
      <c r="C623" s="97" t="s">
        <v>1392</v>
      </c>
      <c r="D623" s="97"/>
      <c r="E623" s="109" t="s">
        <v>1393</v>
      </c>
      <c r="F623" s="108" t="s">
        <v>850</v>
      </c>
      <c r="G623" s="108">
        <v>1</v>
      </c>
      <c r="H623" s="108"/>
      <c r="I623" s="100"/>
      <c r="J623" s="101"/>
      <c r="K623" s="126">
        <f t="shared" si="182"/>
        <v>0</v>
      </c>
      <c r="L623" s="102"/>
      <c r="M623" s="166">
        <v>0.0351</v>
      </c>
      <c r="N623" s="99"/>
    </row>
    <row r="624" spans="1:14" s="103" customFormat="1" ht="25.5">
      <c r="A624" s="97" t="s">
        <v>1602</v>
      </c>
      <c r="B624" s="97" t="s">
        <v>1150</v>
      </c>
      <c r="C624" s="97" t="s">
        <v>1394</v>
      </c>
      <c r="D624" s="97"/>
      <c r="E624" s="109" t="s">
        <v>1395</v>
      </c>
      <c r="F624" s="108" t="s">
        <v>850</v>
      </c>
      <c r="G624" s="108">
        <v>1</v>
      </c>
      <c r="H624" s="108"/>
      <c r="I624" s="100"/>
      <c r="J624" s="101"/>
      <c r="K624" s="126">
        <f t="shared" si="182"/>
        <v>0</v>
      </c>
      <c r="L624" s="102"/>
      <c r="M624" s="166">
        <v>0.0185</v>
      </c>
      <c r="N624" s="99"/>
    </row>
    <row r="625" spans="1:14" s="103" customFormat="1" ht="25.5">
      <c r="A625" s="97" t="s">
        <v>1603</v>
      </c>
      <c r="B625" s="97" t="s">
        <v>1150</v>
      </c>
      <c r="C625" s="97" t="s">
        <v>1396</v>
      </c>
      <c r="D625" s="97"/>
      <c r="E625" s="109" t="s">
        <v>1397</v>
      </c>
      <c r="F625" s="108" t="s">
        <v>850</v>
      </c>
      <c r="G625" s="108">
        <v>1</v>
      </c>
      <c r="H625" s="108"/>
      <c r="I625" s="100"/>
      <c r="J625" s="101"/>
      <c r="K625" s="126">
        <f t="shared" si="182"/>
        <v>0</v>
      </c>
      <c r="L625" s="102"/>
      <c r="M625" s="166">
        <v>0.05436</v>
      </c>
      <c r="N625" s="99"/>
    </row>
    <row r="626" spans="1:14" s="103" customFormat="1" ht="25.5">
      <c r="A626" s="97" t="s">
        <v>1604</v>
      </c>
      <c r="B626" s="97" t="s">
        <v>1150</v>
      </c>
      <c r="C626" s="97" t="s">
        <v>1398</v>
      </c>
      <c r="D626" s="97"/>
      <c r="E626" s="109" t="s">
        <v>1399</v>
      </c>
      <c r="F626" s="108" t="s">
        <v>850</v>
      </c>
      <c r="G626" s="108">
        <v>1</v>
      </c>
      <c r="H626" s="108"/>
      <c r="I626" s="100"/>
      <c r="J626" s="101"/>
      <c r="K626" s="126">
        <f t="shared" si="182"/>
        <v>0</v>
      </c>
      <c r="L626" s="102"/>
      <c r="M626" s="166">
        <v>0.0685</v>
      </c>
      <c r="N626" s="99"/>
    </row>
    <row r="627" spans="1:14" s="103" customFormat="1" ht="25.5">
      <c r="A627" s="97" t="s">
        <v>1605</v>
      </c>
      <c r="B627" s="97" t="s">
        <v>1150</v>
      </c>
      <c r="C627" s="97" t="s">
        <v>1400</v>
      </c>
      <c r="D627" s="97"/>
      <c r="E627" s="109" t="s">
        <v>1401</v>
      </c>
      <c r="F627" s="108" t="s">
        <v>850</v>
      </c>
      <c r="G627" s="108">
        <v>1</v>
      </c>
      <c r="H627" s="108"/>
      <c r="I627" s="100"/>
      <c r="J627" s="101"/>
      <c r="K627" s="126">
        <f t="shared" si="182"/>
        <v>0</v>
      </c>
      <c r="L627" s="102"/>
      <c r="M627" s="166">
        <v>0.0602</v>
      </c>
      <c r="N627" s="99"/>
    </row>
    <row r="628" spans="1:14" s="103" customFormat="1" ht="25.5">
      <c r="A628" s="97" t="s">
        <v>1606</v>
      </c>
      <c r="B628" s="97" t="s">
        <v>1150</v>
      </c>
      <c r="C628" s="97" t="s">
        <v>1402</v>
      </c>
      <c r="D628" s="97"/>
      <c r="E628" s="109" t="s">
        <v>1403</v>
      </c>
      <c r="F628" s="108" t="s">
        <v>850</v>
      </c>
      <c r="G628" s="108">
        <v>2</v>
      </c>
      <c r="H628" s="108"/>
      <c r="I628" s="100"/>
      <c r="J628" s="101"/>
      <c r="K628" s="126">
        <f t="shared" si="182"/>
        <v>0</v>
      </c>
      <c r="L628" s="102"/>
      <c r="M628" s="166">
        <v>0.13376</v>
      </c>
      <c r="N628" s="99"/>
    </row>
    <row r="629" spans="1:14" s="103" customFormat="1" ht="25.5">
      <c r="A629" s="97" t="s">
        <v>1607</v>
      </c>
      <c r="B629" s="97" t="s">
        <v>1150</v>
      </c>
      <c r="C629" s="97" t="s">
        <v>1404</v>
      </c>
      <c r="D629" s="97"/>
      <c r="E629" s="109" t="s">
        <v>1405</v>
      </c>
      <c r="F629" s="108" t="s">
        <v>850</v>
      </c>
      <c r="G629" s="108">
        <v>6</v>
      </c>
      <c r="H629" s="108"/>
      <c r="I629" s="100"/>
      <c r="J629" s="101"/>
      <c r="K629" s="126">
        <f t="shared" si="182"/>
        <v>0</v>
      </c>
      <c r="L629" s="102"/>
      <c r="M629" s="166">
        <v>0.46596</v>
      </c>
      <c r="N629" s="99"/>
    </row>
    <row r="630" spans="1:14" s="103" customFormat="1" ht="25.5">
      <c r="A630" s="97" t="s">
        <v>1608</v>
      </c>
      <c r="B630" s="97" t="s">
        <v>1150</v>
      </c>
      <c r="C630" s="97" t="s">
        <v>1406</v>
      </c>
      <c r="D630" s="97"/>
      <c r="E630" s="109" t="s">
        <v>1407</v>
      </c>
      <c r="F630" s="108" t="s">
        <v>850</v>
      </c>
      <c r="G630" s="108">
        <v>2</v>
      </c>
      <c r="H630" s="108"/>
      <c r="I630" s="100"/>
      <c r="J630" s="101"/>
      <c r="K630" s="126">
        <f t="shared" si="182"/>
        <v>0</v>
      </c>
      <c r="L630" s="102"/>
      <c r="M630" s="166">
        <v>0.09368</v>
      </c>
      <c r="N630" s="99"/>
    </row>
    <row r="631" spans="1:14" s="103" customFormat="1" ht="25.5">
      <c r="A631" s="97" t="s">
        <v>1609</v>
      </c>
      <c r="B631" s="97" t="s">
        <v>1150</v>
      </c>
      <c r="C631" s="97" t="s">
        <v>1408</v>
      </c>
      <c r="D631" s="97"/>
      <c r="E631" s="109" t="s">
        <v>1409</v>
      </c>
      <c r="F631" s="108" t="s">
        <v>850</v>
      </c>
      <c r="G631" s="108">
        <v>1</v>
      </c>
      <c r="H631" s="108"/>
      <c r="I631" s="100"/>
      <c r="J631" s="101"/>
      <c r="K631" s="126">
        <f t="shared" si="182"/>
        <v>0</v>
      </c>
      <c r="L631" s="102"/>
      <c r="M631" s="166">
        <v>0.05242</v>
      </c>
      <c r="N631" s="99"/>
    </row>
    <row r="632" spans="1:14" s="103" customFormat="1" ht="25.5">
      <c r="A632" s="97" t="s">
        <v>1610</v>
      </c>
      <c r="B632" s="97" t="s">
        <v>1150</v>
      </c>
      <c r="C632" s="97" t="s">
        <v>1410</v>
      </c>
      <c r="D632" s="97"/>
      <c r="E632" s="109" t="s">
        <v>1411</v>
      </c>
      <c r="F632" s="108" t="s">
        <v>850</v>
      </c>
      <c r="G632" s="108">
        <v>1</v>
      </c>
      <c r="H632" s="108"/>
      <c r="I632" s="100"/>
      <c r="J632" s="101"/>
      <c r="K632" s="126">
        <f t="shared" si="182"/>
        <v>0</v>
      </c>
      <c r="L632" s="102"/>
      <c r="M632" s="166">
        <v>0.058</v>
      </c>
      <c r="N632" s="99"/>
    </row>
    <row r="633" spans="1:14" s="103" customFormat="1" ht="25.5">
      <c r="A633" s="97" t="s">
        <v>1611</v>
      </c>
      <c r="B633" s="97" t="s">
        <v>1150</v>
      </c>
      <c r="C633" s="97" t="s">
        <v>1412</v>
      </c>
      <c r="D633" s="97"/>
      <c r="E633" s="109" t="s">
        <v>1413</v>
      </c>
      <c r="F633" s="108" t="s">
        <v>850</v>
      </c>
      <c r="G633" s="108">
        <v>1</v>
      </c>
      <c r="H633" s="108"/>
      <c r="I633" s="100"/>
      <c r="J633" s="101"/>
      <c r="K633" s="126">
        <f t="shared" si="182"/>
        <v>0</v>
      </c>
      <c r="L633" s="102"/>
      <c r="M633" s="166">
        <v>0.0622</v>
      </c>
      <c r="N633" s="99"/>
    </row>
    <row r="634" spans="1:14" s="103" customFormat="1" ht="25.5">
      <c r="A634" s="97" t="s">
        <v>1612</v>
      </c>
      <c r="B634" s="97" t="s">
        <v>1150</v>
      </c>
      <c r="C634" s="97" t="s">
        <v>1414</v>
      </c>
      <c r="D634" s="97"/>
      <c r="E634" s="109" t="s">
        <v>1415</v>
      </c>
      <c r="F634" s="108" t="s">
        <v>850</v>
      </c>
      <c r="G634" s="108">
        <v>1</v>
      </c>
      <c r="H634" s="108"/>
      <c r="I634" s="100"/>
      <c r="J634" s="101"/>
      <c r="K634" s="126">
        <f t="shared" si="182"/>
        <v>0</v>
      </c>
      <c r="L634" s="102"/>
      <c r="M634" s="166">
        <v>0.0817</v>
      </c>
      <c r="N634" s="99"/>
    </row>
    <row r="635" spans="1:14" s="103" customFormat="1" ht="25.5">
      <c r="A635" s="97" t="s">
        <v>1613</v>
      </c>
      <c r="B635" s="97" t="s">
        <v>1150</v>
      </c>
      <c r="C635" s="97" t="s">
        <v>1416</v>
      </c>
      <c r="D635" s="97"/>
      <c r="E635" s="109" t="s">
        <v>1417</v>
      </c>
      <c r="F635" s="108" t="s">
        <v>850</v>
      </c>
      <c r="G635" s="108">
        <v>2</v>
      </c>
      <c r="H635" s="108"/>
      <c r="I635" s="100"/>
      <c r="J635" s="101"/>
      <c r="K635" s="126">
        <f t="shared" si="182"/>
        <v>0</v>
      </c>
      <c r="L635" s="102"/>
      <c r="M635" s="166">
        <v>0.1952</v>
      </c>
      <c r="N635" s="99"/>
    </row>
    <row r="636" spans="1:14" s="103" customFormat="1" ht="25.5">
      <c r="A636" s="97" t="s">
        <v>1614</v>
      </c>
      <c r="B636" s="97" t="s">
        <v>1150</v>
      </c>
      <c r="C636" s="97" t="s">
        <v>1418</v>
      </c>
      <c r="D636" s="97"/>
      <c r="E636" s="109" t="s">
        <v>1419</v>
      </c>
      <c r="F636" s="108" t="s">
        <v>850</v>
      </c>
      <c r="G636" s="108">
        <v>2</v>
      </c>
      <c r="H636" s="108"/>
      <c r="I636" s="100"/>
      <c r="J636" s="101"/>
      <c r="K636" s="126">
        <f t="shared" si="182"/>
        <v>0</v>
      </c>
      <c r="L636" s="102"/>
      <c r="M636" s="166">
        <v>0.227</v>
      </c>
      <c r="N636" s="99"/>
    </row>
    <row r="637" spans="1:14" s="103" customFormat="1" ht="25.5">
      <c r="A637" s="97" t="s">
        <v>1615</v>
      </c>
      <c r="B637" s="97" t="s">
        <v>1150</v>
      </c>
      <c r="C637" s="97" t="s">
        <v>1420</v>
      </c>
      <c r="D637" s="97"/>
      <c r="E637" s="109" t="s">
        <v>1421</v>
      </c>
      <c r="F637" s="108" t="s">
        <v>850</v>
      </c>
      <c r="G637" s="108">
        <v>1</v>
      </c>
      <c r="H637" s="108"/>
      <c r="I637" s="100"/>
      <c r="J637" s="101"/>
      <c r="K637" s="126">
        <f t="shared" si="182"/>
        <v>0</v>
      </c>
      <c r="L637" s="102"/>
      <c r="M637" s="166">
        <v>0</v>
      </c>
      <c r="N637" s="99"/>
    </row>
    <row r="638" spans="1:14" s="103" customFormat="1" ht="12.75">
      <c r="A638" s="97" t="s">
        <v>1616</v>
      </c>
      <c r="B638" s="97" t="s">
        <v>1150</v>
      </c>
      <c r="C638" s="97" t="s">
        <v>1422</v>
      </c>
      <c r="D638" s="97"/>
      <c r="E638" s="109" t="s">
        <v>1423</v>
      </c>
      <c r="F638" s="108" t="s">
        <v>850</v>
      </c>
      <c r="G638" s="108">
        <v>11</v>
      </c>
      <c r="H638" s="108"/>
      <c r="I638" s="100"/>
      <c r="J638" s="101"/>
      <c r="K638" s="126">
        <f t="shared" si="182"/>
        <v>0</v>
      </c>
      <c r="L638" s="102"/>
      <c r="M638" s="166">
        <v>0</v>
      </c>
      <c r="N638" s="99"/>
    </row>
    <row r="639" spans="1:14" s="103" customFormat="1" ht="12.75">
      <c r="A639" s="97" t="s">
        <v>1617</v>
      </c>
      <c r="B639" s="97" t="s">
        <v>1150</v>
      </c>
      <c r="C639" s="97" t="s">
        <v>1424</v>
      </c>
      <c r="D639" s="97"/>
      <c r="E639" s="109" t="s">
        <v>1425</v>
      </c>
      <c r="F639" s="108" t="s">
        <v>850</v>
      </c>
      <c r="G639" s="108">
        <v>1</v>
      </c>
      <c r="H639" s="108"/>
      <c r="I639" s="100"/>
      <c r="J639" s="101"/>
      <c r="K639" s="126">
        <f t="shared" si="182"/>
        <v>0</v>
      </c>
      <c r="L639" s="102"/>
      <c r="M639" s="166">
        <v>0</v>
      </c>
      <c r="N639" s="99"/>
    </row>
    <row r="640" spans="1:14" s="103" customFormat="1" ht="12.75">
      <c r="A640" s="97" t="s">
        <v>1618</v>
      </c>
      <c r="B640" s="97" t="s">
        <v>1150</v>
      </c>
      <c r="C640" s="97" t="s">
        <v>1426</v>
      </c>
      <c r="D640" s="97"/>
      <c r="E640" s="109" t="s">
        <v>1427</v>
      </c>
      <c r="F640" s="108" t="s">
        <v>850</v>
      </c>
      <c r="G640" s="108">
        <v>14</v>
      </c>
      <c r="H640" s="108"/>
      <c r="I640" s="100"/>
      <c r="J640" s="101"/>
      <c r="K640" s="126">
        <f t="shared" si="182"/>
        <v>0</v>
      </c>
      <c r="L640" s="102"/>
      <c r="M640" s="166">
        <v>0</v>
      </c>
      <c r="N640" s="99"/>
    </row>
    <row r="641" spans="1:14" s="103" customFormat="1" ht="12.75">
      <c r="A641" s="97" t="s">
        <v>1619</v>
      </c>
      <c r="B641" s="97" t="s">
        <v>1150</v>
      </c>
      <c r="C641" s="97" t="s">
        <v>1428</v>
      </c>
      <c r="D641" s="97"/>
      <c r="E641" s="109" t="s">
        <v>1429</v>
      </c>
      <c r="F641" s="108" t="s">
        <v>850</v>
      </c>
      <c r="G641" s="108">
        <v>16</v>
      </c>
      <c r="H641" s="108"/>
      <c r="I641" s="100"/>
      <c r="J641" s="101"/>
      <c r="K641" s="126">
        <f t="shared" si="182"/>
        <v>0</v>
      </c>
      <c r="L641" s="102"/>
      <c r="M641" s="166">
        <v>0</v>
      </c>
      <c r="N641" s="99"/>
    </row>
    <row r="642" spans="1:14" s="103" customFormat="1" ht="12.75">
      <c r="A642" s="97" t="s">
        <v>1620</v>
      </c>
      <c r="B642" s="97" t="s">
        <v>1150</v>
      </c>
      <c r="C642" s="97" t="s">
        <v>1430</v>
      </c>
      <c r="D642" s="97"/>
      <c r="E642" s="109" t="s">
        <v>1431</v>
      </c>
      <c r="F642" s="108" t="s">
        <v>850</v>
      </c>
      <c r="G642" s="108">
        <v>2</v>
      </c>
      <c r="H642" s="108"/>
      <c r="I642" s="100"/>
      <c r="J642" s="101"/>
      <c r="K642" s="126">
        <f t="shared" si="182"/>
        <v>0</v>
      </c>
      <c r="L642" s="102"/>
      <c r="M642" s="166">
        <v>0</v>
      </c>
      <c r="N642" s="99"/>
    </row>
    <row r="643" spans="1:14" s="103" customFormat="1" ht="12.75">
      <c r="A643" s="97" t="s">
        <v>1621</v>
      </c>
      <c r="B643" s="97" t="s">
        <v>1150</v>
      </c>
      <c r="C643" s="97" t="s">
        <v>1432</v>
      </c>
      <c r="D643" s="97"/>
      <c r="E643" s="109" t="s">
        <v>1433</v>
      </c>
      <c r="F643" s="108" t="s">
        <v>850</v>
      </c>
      <c r="G643" s="108">
        <v>6</v>
      </c>
      <c r="H643" s="108"/>
      <c r="I643" s="100"/>
      <c r="J643" s="101"/>
      <c r="K643" s="126">
        <f t="shared" si="182"/>
        <v>0</v>
      </c>
      <c r="L643" s="102"/>
      <c r="M643" s="166">
        <v>0</v>
      </c>
      <c r="N643" s="99"/>
    </row>
    <row r="644" spans="1:14" s="103" customFormat="1" ht="12.75">
      <c r="A644" s="97" t="s">
        <v>1622</v>
      </c>
      <c r="B644" s="97" t="s">
        <v>1150</v>
      </c>
      <c r="C644" s="97" t="s">
        <v>1434</v>
      </c>
      <c r="D644" s="97"/>
      <c r="E644" s="109" t="s">
        <v>1435</v>
      </c>
      <c r="F644" s="108" t="s">
        <v>850</v>
      </c>
      <c r="G644" s="108">
        <v>2</v>
      </c>
      <c r="H644" s="108"/>
      <c r="I644" s="100"/>
      <c r="J644" s="101"/>
      <c r="K644" s="126">
        <f t="shared" si="182"/>
        <v>0</v>
      </c>
      <c r="L644" s="102"/>
      <c r="M644" s="166">
        <v>0</v>
      </c>
      <c r="N644" s="99"/>
    </row>
    <row r="645" spans="1:14" s="103" customFormat="1" ht="12.75">
      <c r="A645" s="97" t="s">
        <v>1623</v>
      </c>
      <c r="B645" s="97" t="s">
        <v>1150</v>
      </c>
      <c r="C645" s="97" t="s">
        <v>1436</v>
      </c>
      <c r="D645" s="97"/>
      <c r="E645" s="109" t="s">
        <v>1437</v>
      </c>
      <c r="F645" s="108" t="s">
        <v>850</v>
      </c>
      <c r="G645" s="108">
        <v>3</v>
      </c>
      <c r="H645" s="108"/>
      <c r="I645" s="100"/>
      <c r="J645" s="101"/>
      <c r="K645" s="126">
        <f t="shared" si="182"/>
        <v>0</v>
      </c>
      <c r="L645" s="102"/>
      <c r="M645" s="166">
        <v>0</v>
      </c>
      <c r="N645" s="99"/>
    </row>
    <row r="646" spans="1:14" s="103" customFormat="1" ht="12.75">
      <c r="A646" s="97" t="s">
        <v>1624</v>
      </c>
      <c r="B646" s="97" t="s">
        <v>1150</v>
      </c>
      <c r="C646" s="97" t="s">
        <v>1438</v>
      </c>
      <c r="D646" s="97"/>
      <c r="E646" s="109" t="s">
        <v>1439</v>
      </c>
      <c r="F646" s="108" t="s">
        <v>850</v>
      </c>
      <c r="G646" s="108">
        <v>55</v>
      </c>
      <c r="H646" s="108"/>
      <c r="I646" s="100"/>
      <c r="J646" s="101"/>
      <c r="K646" s="126">
        <f t="shared" si="182"/>
        <v>0</v>
      </c>
      <c r="L646" s="102"/>
      <c r="M646" s="166">
        <v>0</v>
      </c>
      <c r="N646" s="99"/>
    </row>
    <row r="647" spans="1:14" s="103" customFormat="1" ht="12.75">
      <c r="A647" s="97" t="s">
        <v>1625</v>
      </c>
      <c r="B647" s="97" t="s">
        <v>1150</v>
      </c>
      <c r="C647" s="97" t="s">
        <v>1440</v>
      </c>
      <c r="D647" s="97"/>
      <c r="E647" s="109" t="s">
        <v>1688</v>
      </c>
      <c r="F647" s="108" t="s">
        <v>847</v>
      </c>
      <c r="G647" s="108">
        <v>500</v>
      </c>
      <c r="H647" s="108"/>
      <c r="I647" s="100"/>
      <c r="J647" s="101"/>
      <c r="K647" s="126">
        <f t="shared" si="182"/>
        <v>0</v>
      </c>
      <c r="L647" s="102"/>
      <c r="M647" s="166">
        <v>0</v>
      </c>
      <c r="N647" s="99"/>
    </row>
    <row r="648" spans="1:14" s="103" customFormat="1" ht="12.75">
      <c r="A648" s="97" t="s">
        <v>1626</v>
      </c>
      <c r="B648" s="97"/>
      <c r="C648" s="97" t="s">
        <v>1685</v>
      </c>
      <c r="D648" s="97"/>
      <c r="E648" s="109" t="s">
        <v>1689</v>
      </c>
      <c r="F648" s="108" t="s">
        <v>847</v>
      </c>
      <c r="G648" s="108">
        <v>500</v>
      </c>
      <c r="H648" s="108"/>
      <c r="I648" s="100"/>
      <c r="J648" s="101"/>
      <c r="K648" s="126">
        <f t="shared" si="182"/>
        <v>0</v>
      </c>
      <c r="L648" s="102"/>
      <c r="M648" s="166"/>
      <c r="N648" s="99"/>
    </row>
    <row r="649" spans="1:14" s="103" customFormat="1" ht="12.75">
      <c r="A649" s="97" t="s">
        <v>1627</v>
      </c>
      <c r="B649" s="97"/>
      <c r="C649" s="59" t="s">
        <v>991</v>
      </c>
      <c r="D649" s="142"/>
      <c r="E649" s="142" t="s">
        <v>1690</v>
      </c>
      <c r="F649" s="108"/>
      <c r="G649" s="108"/>
      <c r="H649" s="108"/>
      <c r="I649" s="100"/>
      <c r="J649" s="101"/>
      <c r="K649" s="126">
        <f t="shared" si="182"/>
        <v>0</v>
      </c>
      <c r="L649" s="102"/>
      <c r="M649" s="166"/>
      <c r="N649" s="99"/>
    </row>
    <row r="650" spans="1:14" s="103" customFormat="1" ht="12.75">
      <c r="A650" s="97" t="s">
        <v>1628</v>
      </c>
      <c r="B650" s="97"/>
      <c r="C650" s="97" t="s">
        <v>1686</v>
      </c>
      <c r="D650" s="97"/>
      <c r="E650" s="109" t="s">
        <v>1687</v>
      </c>
      <c r="F650" s="108" t="s">
        <v>852</v>
      </c>
      <c r="G650" s="108" t="s">
        <v>7</v>
      </c>
      <c r="H650" s="108"/>
      <c r="I650" s="100"/>
      <c r="J650" s="101"/>
      <c r="K650" s="126">
        <f t="shared" si="182"/>
        <v>0</v>
      </c>
      <c r="L650" s="102"/>
      <c r="M650" s="166"/>
      <c r="N650" s="99"/>
    </row>
    <row r="651" spans="1:14" s="103" customFormat="1" ht="12.75">
      <c r="A651" s="97" t="s">
        <v>1629</v>
      </c>
      <c r="B651" s="97" t="s">
        <v>1150</v>
      </c>
      <c r="C651" s="97" t="s">
        <v>1441</v>
      </c>
      <c r="D651" s="97"/>
      <c r="E651" s="109" t="s">
        <v>1442</v>
      </c>
      <c r="F651" s="108" t="s">
        <v>850</v>
      </c>
      <c r="G651" s="108">
        <v>10</v>
      </c>
      <c r="H651" s="108"/>
      <c r="I651" s="100"/>
      <c r="J651" s="101"/>
      <c r="K651" s="126">
        <f t="shared" si="182"/>
        <v>0</v>
      </c>
      <c r="L651" s="102"/>
      <c r="M651" s="166">
        <v>0</v>
      </c>
      <c r="N651" s="99"/>
    </row>
    <row r="652" spans="1:14" s="103" customFormat="1" ht="25.5">
      <c r="A652" s="97" t="s">
        <v>1630</v>
      </c>
      <c r="B652" s="97" t="s">
        <v>1150</v>
      </c>
      <c r="C652" s="97" t="s">
        <v>1443</v>
      </c>
      <c r="D652" s="97"/>
      <c r="E652" s="109" t="s">
        <v>1444</v>
      </c>
      <c r="F652" s="108" t="s">
        <v>1155</v>
      </c>
      <c r="G652" s="108">
        <v>1</v>
      </c>
      <c r="H652" s="108"/>
      <c r="I652" s="100"/>
      <c r="J652" s="101"/>
      <c r="K652" s="126">
        <f t="shared" si="182"/>
        <v>0</v>
      </c>
      <c r="L652" s="102"/>
      <c r="M652" s="166">
        <v>0.00234</v>
      </c>
      <c r="N652" s="99"/>
    </row>
    <row r="653" spans="1:14" s="103" customFormat="1" ht="12.75">
      <c r="A653" s="97" t="s">
        <v>1631</v>
      </c>
      <c r="B653" s="97" t="s">
        <v>1150</v>
      </c>
      <c r="C653" s="97" t="s">
        <v>1445</v>
      </c>
      <c r="D653" s="97"/>
      <c r="E653" s="109" t="s">
        <v>1446</v>
      </c>
      <c r="F653" s="108" t="s">
        <v>847</v>
      </c>
      <c r="G653" s="108">
        <v>370</v>
      </c>
      <c r="H653" s="108"/>
      <c r="I653" s="100"/>
      <c r="J653" s="101"/>
      <c r="K653" s="126">
        <f t="shared" si="182"/>
        <v>0</v>
      </c>
      <c r="L653" s="102"/>
      <c r="M653" s="166">
        <v>0</v>
      </c>
      <c r="N653" s="99"/>
    </row>
    <row r="654" spans="1:14" s="119" customFormat="1" ht="12.75">
      <c r="A654" s="110"/>
      <c r="B654" s="110" t="s">
        <v>1150</v>
      </c>
      <c r="C654" s="110" t="s">
        <v>392</v>
      </c>
      <c r="D654" s="110"/>
      <c r="E654" s="121" t="s">
        <v>1447</v>
      </c>
      <c r="F654" s="114"/>
      <c r="G654" s="114"/>
      <c r="H654" s="114"/>
      <c r="I654" s="115"/>
      <c r="J654" s="116"/>
      <c r="K654" s="131">
        <f>SUM(K655:K656)</f>
        <v>0</v>
      </c>
      <c r="L654" s="117"/>
      <c r="M654" s="165">
        <v>0.01985</v>
      </c>
      <c r="N654" s="118"/>
    </row>
    <row r="655" spans="1:14" s="103" customFormat="1" ht="12.75">
      <c r="A655" s="97" t="s">
        <v>1632</v>
      </c>
      <c r="B655" s="97" t="s">
        <v>1150</v>
      </c>
      <c r="C655" s="97" t="s">
        <v>1448</v>
      </c>
      <c r="D655" s="97"/>
      <c r="E655" s="109" t="s">
        <v>1449</v>
      </c>
      <c r="F655" s="108" t="s">
        <v>846</v>
      </c>
      <c r="G655" s="108" t="s">
        <v>47</v>
      </c>
      <c r="H655" s="108"/>
      <c r="I655" s="100"/>
      <c r="J655" s="101"/>
      <c r="K655" s="126">
        <f>G655*H655</f>
        <v>0</v>
      </c>
      <c r="L655" s="102"/>
      <c r="M655" s="166">
        <v>0.0011</v>
      </c>
      <c r="N655" s="99"/>
    </row>
    <row r="656" spans="1:14" s="103" customFormat="1" ht="12.75">
      <c r="A656" s="97" t="s">
        <v>1633</v>
      </c>
      <c r="B656" s="97" t="s">
        <v>1150</v>
      </c>
      <c r="C656" s="97" t="s">
        <v>1450</v>
      </c>
      <c r="D656" s="97"/>
      <c r="E656" s="109" t="s">
        <v>1451</v>
      </c>
      <c r="F656" s="108" t="s">
        <v>846</v>
      </c>
      <c r="G656" s="108" t="s">
        <v>1646</v>
      </c>
      <c r="H656" s="108"/>
      <c r="I656" s="100"/>
      <c r="J656" s="101"/>
      <c r="K656" s="126">
        <f>G656*H656</f>
        <v>0</v>
      </c>
      <c r="L656" s="102"/>
      <c r="M656" s="166">
        <v>0.01875</v>
      </c>
      <c r="N656" s="99"/>
    </row>
    <row r="657" spans="1:46" ht="12.75">
      <c r="A657" s="3"/>
      <c r="B657" s="11" t="s">
        <v>1150</v>
      </c>
      <c r="C657" s="52" t="s">
        <v>439</v>
      </c>
      <c r="D657" s="228" t="s">
        <v>723</v>
      </c>
      <c r="E657" s="229"/>
      <c r="F657" s="61" t="s">
        <v>6</v>
      </c>
      <c r="G657" s="61" t="s">
        <v>6</v>
      </c>
      <c r="H657" s="61"/>
      <c r="I657" s="31">
        <f>SUM(I658:I662)</f>
        <v>0</v>
      </c>
      <c r="J657" s="31">
        <f>SUM(J658:J662)</f>
        <v>0</v>
      </c>
      <c r="K657" s="128">
        <f>SUM(K658:K662)</f>
        <v>0</v>
      </c>
      <c r="L657" s="24"/>
      <c r="M657" s="160">
        <f>SUM(M658:M662)</f>
        <v>0</v>
      </c>
      <c r="N657" s="98"/>
      <c r="AH657" s="24" t="s">
        <v>273</v>
      </c>
      <c r="AR657" s="31">
        <f>SUM(AI658:AI662)</f>
        <v>0</v>
      </c>
      <c r="AS657" s="31">
        <f>SUM(AJ658:AJ662)</f>
        <v>0</v>
      </c>
      <c r="AT657" s="31">
        <f>SUM(AK658:AK662)</f>
        <v>0</v>
      </c>
    </row>
    <row r="658" spans="1:63" ht="12.75" customHeight="1">
      <c r="A658" s="4" t="s">
        <v>1634</v>
      </c>
      <c r="B658" s="12" t="s">
        <v>1150</v>
      </c>
      <c r="C658" s="53" t="s">
        <v>1691</v>
      </c>
      <c r="D658" s="141"/>
      <c r="E658" s="141" t="s">
        <v>1696</v>
      </c>
      <c r="F658" s="62" t="s">
        <v>851</v>
      </c>
      <c r="G658" s="104">
        <f>1.5+2.3+1+2.1+0.4</f>
        <v>7.300000000000001</v>
      </c>
      <c r="H658" s="104"/>
      <c r="I658" s="16">
        <f>G658*AN658</f>
        <v>0</v>
      </c>
      <c r="J658" s="16">
        <f>G658*AO658</f>
        <v>0</v>
      </c>
      <c r="K658" s="126">
        <f>G658*H658</f>
        <v>0</v>
      </c>
      <c r="L658" s="16">
        <v>0</v>
      </c>
      <c r="M658" s="34">
        <f>G658*L658</f>
        <v>0</v>
      </c>
      <c r="N658" s="98"/>
      <c r="Y658" s="26">
        <f>IF(AP658="5",BI658,0)</f>
        <v>0</v>
      </c>
      <c r="AA658" s="26">
        <f>IF(AP658="1",BG658,0)</f>
        <v>0</v>
      </c>
      <c r="AB658" s="26">
        <f>IF(AP658="1",BH658,0)</f>
        <v>0</v>
      </c>
      <c r="AC658" s="26">
        <f>IF(AP658="7",BG658,0)</f>
        <v>0</v>
      </c>
      <c r="AD658" s="26">
        <f>IF(AP658="7",BH658,0)</f>
        <v>0</v>
      </c>
      <c r="AE658" s="26">
        <f>IF(AP658="2",BG658,0)</f>
        <v>0</v>
      </c>
      <c r="AF658" s="26">
        <f>IF(AP658="2",BH658,0)</f>
        <v>0</v>
      </c>
      <c r="AG658" s="26">
        <f>IF(AP658="0",BI658,0)</f>
        <v>0</v>
      </c>
      <c r="AH658" s="24" t="s">
        <v>273</v>
      </c>
      <c r="AI658" s="16">
        <f>IF(AM658=0,K658,0)</f>
        <v>0</v>
      </c>
      <c r="AJ658" s="16">
        <f>IF(AM658=15,K658,0)</f>
        <v>0</v>
      </c>
      <c r="AK658" s="16">
        <f>IF(AM658=21,K658,0)</f>
        <v>0</v>
      </c>
      <c r="AM658" s="26">
        <v>15</v>
      </c>
      <c r="AN658" s="26">
        <f>H658*0</f>
        <v>0</v>
      </c>
      <c r="AO658" s="26">
        <f>H658*(1-0)</f>
        <v>0</v>
      </c>
      <c r="AP658" s="27" t="s">
        <v>11</v>
      </c>
      <c r="AU658" s="26">
        <f>AV658+AW658</f>
        <v>0</v>
      </c>
      <c r="AV658" s="26">
        <f>G658*AN658</f>
        <v>0</v>
      </c>
      <c r="AW658" s="26">
        <f>G658*AO658</f>
        <v>0</v>
      </c>
      <c r="AX658" s="29" t="s">
        <v>908</v>
      </c>
      <c r="AY658" s="29" t="s">
        <v>929</v>
      </c>
      <c r="AZ658" s="24" t="s">
        <v>937</v>
      </c>
      <c r="BB658" s="26">
        <f>AV658+AW658</f>
        <v>0</v>
      </c>
      <c r="BC658" s="26">
        <f>H658/(100-BD658)*100</f>
        <v>0</v>
      </c>
      <c r="BD658" s="26">
        <v>0</v>
      </c>
      <c r="BE658" s="26">
        <f>M658</f>
        <v>0</v>
      </c>
      <c r="BG658" s="16">
        <f>G658*AN658</f>
        <v>0</v>
      </c>
      <c r="BH658" s="16">
        <f>G658*AO658</f>
        <v>0</v>
      </c>
      <c r="BI658" s="16">
        <f>G658*H658</f>
        <v>0</v>
      </c>
      <c r="BJ658" s="16" t="s">
        <v>945</v>
      </c>
      <c r="BK658" s="26" t="s">
        <v>439</v>
      </c>
    </row>
    <row r="659" spans="1:14" s="58" customFormat="1" ht="12.75" customHeight="1">
      <c r="A659" s="57"/>
      <c r="C659" s="59" t="s">
        <v>991</v>
      </c>
      <c r="D659" s="154"/>
      <c r="E659" s="154" t="s">
        <v>1092</v>
      </c>
      <c r="F659" s="142"/>
      <c r="G659" s="142"/>
      <c r="H659" s="142"/>
      <c r="I659" s="142"/>
      <c r="J659" s="142"/>
      <c r="K659" s="142"/>
      <c r="L659" s="142"/>
      <c r="M659" s="167"/>
      <c r="N659" s="159"/>
    </row>
    <row r="660" spans="1:63" ht="12.75" customHeight="1">
      <c r="A660" s="4" t="s">
        <v>1635</v>
      </c>
      <c r="B660" s="12" t="s">
        <v>1150</v>
      </c>
      <c r="C660" s="53" t="s">
        <v>1692</v>
      </c>
      <c r="D660" s="141"/>
      <c r="E660" s="141" t="s">
        <v>1695</v>
      </c>
      <c r="F660" s="62" t="s">
        <v>851</v>
      </c>
      <c r="G660" s="104">
        <f>3*G658</f>
        <v>21.900000000000002</v>
      </c>
      <c r="H660" s="104"/>
      <c r="I660" s="16">
        <f>G660*AN660</f>
        <v>0</v>
      </c>
      <c r="J660" s="16">
        <f>G660*AO660</f>
        <v>0</v>
      </c>
      <c r="K660" s="126">
        <f>G660*H660</f>
        <v>0</v>
      </c>
      <c r="L660" s="16">
        <v>0</v>
      </c>
      <c r="M660" s="34">
        <f>G660*L660</f>
        <v>0</v>
      </c>
      <c r="N660" s="98"/>
      <c r="Y660" s="26">
        <f>IF(AP660="5",BI660,0)</f>
        <v>0</v>
      </c>
      <c r="AA660" s="26">
        <f>IF(AP660="1",BG660,0)</f>
        <v>0</v>
      </c>
      <c r="AB660" s="26">
        <f>IF(AP660="1",BH660,0)</f>
        <v>0</v>
      </c>
      <c r="AC660" s="26">
        <f>IF(AP660="7",BG660,0)</f>
        <v>0</v>
      </c>
      <c r="AD660" s="26">
        <f>IF(AP660="7",BH660,0)</f>
        <v>0</v>
      </c>
      <c r="AE660" s="26">
        <f>IF(AP660="2",BG660,0)</f>
        <v>0</v>
      </c>
      <c r="AF660" s="26">
        <f>IF(AP660="2",BH660,0)</f>
        <v>0</v>
      </c>
      <c r="AG660" s="26">
        <f>IF(AP660="0",BI660,0)</f>
        <v>0</v>
      </c>
      <c r="AH660" s="24" t="s">
        <v>273</v>
      </c>
      <c r="AI660" s="16">
        <f>IF(AM660=0,K660,0)</f>
        <v>0</v>
      </c>
      <c r="AJ660" s="16">
        <f>IF(AM660=15,K660,0)</f>
        <v>0</v>
      </c>
      <c r="AK660" s="16">
        <f>IF(AM660=21,K660,0)</f>
        <v>0</v>
      </c>
      <c r="AM660" s="26">
        <v>15</v>
      </c>
      <c r="AN660" s="26">
        <f>H660*0</f>
        <v>0</v>
      </c>
      <c r="AO660" s="26">
        <f>H660*(1-0)</f>
        <v>0</v>
      </c>
      <c r="AP660" s="27" t="s">
        <v>11</v>
      </c>
      <c r="AU660" s="26">
        <f>AV660+AW660</f>
        <v>0</v>
      </c>
      <c r="AV660" s="26">
        <f>G660*AN660</f>
        <v>0</v>
      </c>
      <c r="AW660" s="26">
        <f>G660*AO660</f>
        <v>0</v>
      </c>
      <c r="AX660" s="29" t="s">
        <v>908</v>
      </c>
      <c r="AY660" s="29" t="s">
        <v>929</v>
      </c>
      <c r="AZ660" s="24" t="s">
        <v>937</v>
      </c>
      <c r="BB660" s="26">
        <f>AV660+AW660</f>
        <v>0</v>
      </c>
      <c r="BC660" s="26">
        <f>H660/(100-BD660)*100</f>
        <v>0</v>
      </c>
      <c r="BD660" s="26">
        <v>0</v>
      </c>
      <c r="BE660" s="26">
        <f>M660</f>
        <v>0</v>
      </c>
      <c r="BG660" s="16">
        <f>G660*AN660</f>
        <v>0</v>
      </c>
      <c r="BH660" s="16">
        <f>G660*AO660</f>
        <v>0</v>
      </c>
      <c r="BI660" s="16">
        <f>G660*H660</f>
        <v>0</v>
      </c>
      <c r="BJ660" s="16" t="s">
        <v>945</v>
      </c>
      <c r="BK660" s="26" t="s">
        <v>439</v>
      </c>
    </row>
    <row r="661" spans="1:14" s="58" customFormat="1" ht="12.75" customHeight="1">
      <c r="A661" s="57"/>
      <c r="C661" s="59" t="s">
        <v>991</v>
      </c>
      <c r="D661" s="154"/>
      <c r="E661" s="154" t="s">
        <v>1092</v>
      </c>
      <c r="F661" s="142"/>
      <c r="G661" s="142"/>
      <c r="H661" s="142"/>
      <c r="I661" s="142"/>
      <c r="J661" s="142"/>
      <c r="K661" s="142"/>
      <c r="L661" s="142"/>
      <c r="M661" s="167"/>
      <c r="N661" s="159"/>
    </row>
    <row r="662" spans="1:63" ht="12.75" customHeight="1">
      <c r="A662" s="4" t="s">
        <v>1636</v>
      </c>
      <c r="B662" s="12" t="s">
        <v>1150</v>
      </c>
      <c r="C662" s="53" t="s">
        <v>1693</v>
      </c>
      <c r="D662" s="141"/>
      <c r="E662" s="141" t="s">
        <v>1694</v>
      </c>
      <c r="F662" s="62" t="s">
        <v>851</v>
      </c>
      <c r="G662" s="104">
        <f>G658</f>
        <v>7.300000000000001</v>
      </c>
      <c r="H662" s="104"/>
      <c r="I662" s="16">
        <f>G662*AN662</f>
        <v>0</v>
      </c>
      <c r="J662" s="16">
        <f>G662*AO662</f>
        <v>0</v>
      </c>
      <c r="K662" s="126">
        <f>G662*H662</f>
        <v>0</v>
      </c>
      <c r="L662" s="16">
        <v>0</v>
      </c>
      <c r="M662" s="34">
        <f>G662*L662</f>
        <v>0</v>
      </c>
      <c r="N662" s="98"/>
      <c r="Y662" s="26">
        <f>IF(AP662="5",BI662,0)</f>
        <v>0</v>
      </c>
      <c r="AA662" s="26">
        <f>IF(AP662="1",BG662,0)</f>
        <v>0</v>
      </c>
      <c r="AB662" s="26">
        <f>IF(AP662="1",BH662,0)</f>
        <v>0</v>
      </c>
      <c r="AC662" s="26">
        <f>IF(AP662="7",BG662,0)</f>
        <v>0</v>
      </c>
      <c r="AD662" s="26">
        <f>IF(AP662="7",BH662,0)</f>
        <v>0</v>
      </c>
      <c r="AE662" s="26">
        <f>IF(AP662="2",BG662,0)</f>
        <v>0</v>
      </c>
      <c r="AF662" s="26">
        <f>IF(AP662="2",BH662,0)</f>
        <v>0</v>
      </c>
      <c r="AG662" s="26">
        <f>IF(AP662="0",BI662,0)</f>
        <v>0</v>
      </c>
      <c r="AH662" s="24" t="s">
        <v>273</v>
      </c>
      <c r="AI662" s="16">
        <f>IF(AM662=0,K662,0)</f>
        <v>0</v>
      </c>
      <c r="AJ662" s="16">
        <f>IF(AM662=15,K662,0)</f>
        <v>0</v>
      </c>
      <c r="AK662" s="16">
        <f>IF(AM662=21,K662,0)</f>
        <v>0</v>
      </c>
      <c r="AM662" s="26">
        <v>15</v>
      </c>
      <c r="AN662" s="26">
        <f>H662*0</f>
        <v>0</v>
      </c>
      <c r="AO662" s="26">
        <f>H662*(1-0)</f>
        <v>0</v>
      </c>
      <c r="AP662" s="27" t="s">
        <v>11</v>
      </c>
      <c r="AU662" s="26">
        <f>AV662+AW662</f>
        <v>0</v>
      </c>
      <c r="AV662" s="26">
        <f>G662*AN662</f>
        <v>0</v>
      </c>
      <c r="AW662" s="26">
        <f>G662*AO662</f>
        <v>0</v>
      </c>
      <c r="AX662" s="29" t="s">
        <v>908</v>
      </c>
      <c r="AY662" s="29" t="s">
        <v>929</v>
      </c>
      <c r="AZ662" s="24" t="s">
        <v>937</v>
      </c>
      <c r="BB662" s="26">
        <f>AV662+AW662</f>
        <v>0</v>
      </c>
      <c r="BC662" s="26">
        <f>H662/(100-BD662)*100</f>
        <v>0</v>
      </c>
      <c r="BD662" s="26">
        <v>0</v>
      </c>
      <c r="BE662" s="26">
        <f>M662</f>
        <v>0</v>
      </c>
      <c r="BG662" s="16">
        <f>G662*AN662</f>
        <v>0</v>
      </c>
      <c r="BH662" s="16">
        <f>G662*AO662</f>
        <v>0</v>
      </c>
      <c r="BI662" s="16">
        <f>G662*H662</f>
        <v>0</v>
      </c>
      <c r="BJ662" s="16" t="s">
        <v>945</v>
      </c>
      <c r="BK662" s="26" t="s">
        <v>439</v>
      </c>
    </row>
    <row r="663" spans="1:14" s="119" customFormat="1" ht="12.75">
      <c r="A663" s="110"/>
      <c r="B663" s="110" t="s">
        <v>1150</v>
      </c>
      <c r="C663" s="110" t="s">
        <v>1452</v>
      </c>
      <c r="D663" s="110"/>
      <c r="E663" s="121" t="s">
        <v>1453</v>
      </c>
      <c r="F663" s="114"/>
      <c r="G663" s="114"/>
      <c r="H663" s="114"/>
      <c r="I663" s="115"/>
      <c r="J663" s="116"/>
      <c r="K663" s="131"/>
      <c r="L663" s="117"/>
      <c r="M663" s="165">
        <v>0</v>
      </c>
      <c r="N663" s="118"/>
    </row>
    <row r="664" spans="1:14" s="119" customFormat="1" ht="12.75">
      <c r="A664" s="110"/>
      <c r="B664" s="110" t="s">
        <v>1150</v>
      </c>
      <c r="C664" s="110" t="s">
        <v>1454</v>
      </c>
      <c r="D664" s="110"/>
      <c r="E664" s="121" t="s">
        <v>1455</v>
      </c>
      <c r="F664" s="114"/>
      <c r="G664" s="114"/>
      <c r="H664" s="114"/>
      <c r="I664" s="115"/>
      <c r="J664" s="116"/>
      <c r="K664" s="131">
        <f>SUM(K665:K676)</f>
        <v>0</v>
      </c>
      <c r="L664" s="117"/>
      <c r="M664" s="165">
        <v>0</v>
      </c>
      <c r="N664" s="118"/>
    </row>
    <row r="665" spans="1:14" s="103" customFormat="1" ht="12.75">
      <c r="A665" s="97" t="s">
        <v>1637</v>
      </c>
      <c r="B665" s="97" t="s">
        <v>1150</v>
      </c>
      <c r="C665" s="97" t="s">
        <v>1456</v>
      </c>
      <c r="D665" s="97"/>
      <c r="E665" s="109" t="s">
        <v>1457</v>
      </c>
      <c r="F665" s="108" t="s">
        <v>1155</v>
      </c>
      <c r="G665" s="108">
        <v>1</v>
      </c>
      <c r="H665" s="108"/>
      <c r="I665" s="100"/>
      <c r="J665" s="101"/>
      <c r="K665" s="126">
        <f>G665*H665</f>
        <v>0</v>
      </c>
      <c r="L665" s="102"/>
      <c r="M665" s="166">
        <v>0</v>
      </c>
      <c r="N665" s="99"/>
    </row>
    <row r="666" spans="1:63" s="146" customFormat="1" ht="12.75">
      <c r="A666" s="97"/>
      <c r="B666" s="145"/>
      <c r="C666" s="59" t="s">
        <v>991</v>
      </c>
      <c r="D666" s="142"/>
      <c r="E666" s="142" t="s">
        <v>1672</v>
      </c>
      <c r="F666" s="142"/>
      <c r="G666" s="142"/>
      <c r="H666" s="142"/>
      <c r="I666" s="142"/>
      <c r="J666" s="142"/>
      <c r="K666" s="126">
        <f aca="true" t="shared" si="183" ref="K666:K676">G666*H666</f>
        <v>0</v>
      </c>
      <c r="L666" s="142"/>
      <c r="M666" s="167"/>
      <c r="N666" s="152"/>
      <c r="Y666" s="147"/>
      <c r="AA666" s="147"/>
      <c r="AB666" s="147"/>
      <c r="AC666" s="147"/>
      <c r="AD666" s="147"/>
      <c r="AE666" s="147"/>
      <c r="AF666" s="147"/>
      <c r="AG666" s="147"/>
      <c r="AH666" s="148"/>
      <c r="AI666" s="149"/>
      <c r="AJ666" s="149"/>
      <c r="AK666" s="149"/>
      <c r="AM666" s="147"/>
      <c r="AN666" s="147"/>
      <c r="AO666" s="147"/>
      <c r="AP666" s="150"/>
      <c r="AU666" s="147"/>
      <c r="AV666" s="147"/>
      <c r="AW666" s="147"/>
      <c r="AX666" s="151"/>
      <c r="AY666" s="151"/>
      <c r="AZ666" s="148"/>
      <c r="BB666" s="147"/>
      <c r="BC666" s="147"/>
      <c r="BD666" s="147"/>
      <c r="BE666" s="147"/>
      <c r="BG666" s="149"/>
      <c r="BH666" s="149"/>
      <c r="BI666" s="149"/>
      <c r="BJ666" s="149"/>
      <c r="BK666" s="147"/>
    </row>
    <row r="667" spans="1:14" s="103" customFormat="1" ht="12.75">
      <c r="A667" s="97" t="s">
        <v>1638</v>
      </c>
      <c r="B667" s="97" t="s">
        <v>1150</v>
      </c>
      <c r="C667" s="97" t="s">
        <v>1458</v>
      </c>
      <c r="D667" s="97"/>
      <c r="E667" s="109" t="s">
        <v>1459</v>
      </c>
      <c r="F667" s="108" t="s">
        <v>1155</v>
      </c>
      <c r="G667" s="108">
        <v>1</v>
      </c>
      <c r="H667" s="108"/>
      <c r="I667" s="100"/>
      <c r="J667" s="101"/>
      <c r="K667" s="126">
        <f t="shared" si="183"/>
        <v>0</v>
      </c>
      <c r="L667" s="102"/>
      <c r="M667" s="166">
        <v>0</v>
      </c>
      <c r="N667" s="99"/>
    </row>
    <row r="668" spans="1:14" s="103" customFormat="1" ht="12.75">
      <c r="A668" s="97" t="s">
        <v>1639</v>
      </c>
      <c r="B668" s="97" t="s">
        <v>1150</v>
      </c>
      <c r="C668" s="97" t="s">
        <v>1460</v>
      </c>
      <c r="D668" s="97"/>
      <c r="E668" s="109" t="s">
        <v>1678</v>
      </c>
      <c r="F668" s="108" t="s">
        <v>1155</v>
      </c>
      <c r="G668" s="108">
        <v>1</v>
      </c>
      <c r="H668" s="108"/>
      <c r="I668" s="100"/>
      <c r="J668" s="101"/>
      <c r="K668" s="126">
        <f t="shared" si="183"/>
        <v>0</v>
      </c>
      <c r="L668" s="102"/>
      <c r="M668" s="166">
        <v>0</v>
      </c>
      <c r="N668" s="99"/>
    </row>
    <row r="669" spans="1:14" s="103" customFormat="1" ht="12.75">
      <c r="A669" s="97" t="s">
        <v>1640</v>
      </c>
      <c r="B669" s="97" t="s">
        <v>1150</v>
      </c>
      <c r="C669" s="97" t="s">
        <v>1461</v>
      </c>
      <c r="D669" s="97"/>
      <c r="E669" s="109" t="s">
        <v>1677</v>
      </c>
      <c r="F669" s="108" t="s">
        <v>1155</v>
      </c>
      <c r="G669" s="108">
        <v>1</v>
      </c>
      <c r="H669" s="108"/>
      <c r="I669" s="100"/>
      <c r="J669" s="101"/>
      <c r="K669" s="126">
        <f t="shared" si="183"/>
        <v>0</v>
      </c>
      <c r="L669" s="102"/>
      <c r="M669" s="166">
        <v>0</v>
      </c>
      <c r="N669" s="99"/>
    </row>
    <row r="670" spans="1:14" s="103" customFormat="1" ht="12.75">
      <c r="A670" s="97" t="s">
        <v>1641</v>
      </c>
      <c r="B670" s="97" t="s">
        <v>1150</v>
      </c>
      <c r="C670" s="97" t="s">
        <v>1462</v>
      </c>
      <c r="D670" s="97"/>
      <c r="E670" s="109" t="s">
        <v>1463</v>
      </c>
      <c r="F670" s="108" t="s">
        <v>1155</v>
      </c>
      <c r="G670" s="108">
        <v>1</v>
      </c>
      <c r="H670" s="108"/>
      <c r="I670" s="100"/>
      <c r="J670" s="101"/>
      <c r="K670" s="126">
        <f t="shared" si="183"/>
        <v>0</v>
      </c>
      <c r="L670" s="102"/>
      <c r="M670" s="166">
        <v>0</v>
      </c>
      <c r="N670" s="99"/>
    </row>
    <row r="671" spans="1:14" s="103" customFormat="1" ht="12.75">
      <c r="A671" s="97" t="s">
        <v>1642</v>
      </c>
      <c r="B671" s="97" t="s">
        <v>1150</v>
      </c>
      <c r="C671" s="97" t="s">
        <v>1464</v>
      </c>
      <c r="D671" s="97"/>
      <c r="E671" s="109" t="s">
        <v>1465</v>
      </c>
      <c r="F671" s="108" t="s">
        <v>1155</v>
      </c>
      <c r="G671" s="108">
        <v>1</v>
      </c>
      <c r="H671" s="108"/>
      <c r="I671" s="100"/>
      <c r="J671" s="101"/>
      <c r="K671" s="126">
        <f t="shared" si="183"/>
        <v>0</v>
      </c>
      <c r="L671" s="102"/>
      <c r="M671" s="166">
        <v>0</v>
      </c>
      <c r="N671" s="99"/>
    </row>
    <row r="672" spans="1:63" s="146" customFormat="1" ht="12.75">
      <c r="A672" s="97"/>
      <c r="B672" s="145"/>
      <c r="C672" s="59" t="s">
        <v>991</v>
      </c>
      <c r="D672" s="142"/>
      <c r="E672" s="142" t="s">
        <v>1673</v>
      </c>
      <c r="F672" s="142"/>
      <c r="G672" s="142"/>
      <c r="H672" s="142"/>
      <c r="I672" s="142"/>
      <c r="J672" s="142"/>
      <c r="K672" s="126">
        <f t="shared" si="183"/>
        <v>0</v>
      </c>
      <c r="L672" s="142"/>
      <c r="M672" s="167"/>
      <c r="N672" s="152"/>
      <c r="Y672" s="147"/>
      <c r="AA672" s="147"/>
      <c r="AB672" s="147"/>
      <c r="AC672" s="147"/>
      <c r="AD672" s="147"/>
      <c r="AE672" s="147"/>
      <c r="AF672" s="147"/>
      <c r="AG672" s="147"/>
      <c r="AH672" s="148"/>
      <c r="AI672" s="149"/>
      <c r="AJ672" s="149"/>
      <c r="AK672" s="149"/>
      <c r="AM672" s="147"/>
      <c r="AN672" s="147"/>
      <c r="AO672" s="147"/>
      <c r="AP672" s="150"/>
      <c r="AU672" s="147"/>
      <c r="AV672" s="147"/>
      <c r="AW672" s="147"/>
      <c r="AX672" s="151"/>
      <c r="AY672" s="151"/>
      <c r="AZ672" s="148"/>
      <c r="BB672" s="147"/>
      <c r="BC672" s="147"/>
      <c r="BD672" s="147"/>
      <c r="BE672" s="147"/>
      <c r="BG672" s="149"/>
      <c r="BH672" s="149"/>
      <c r="BI672" s="149"/>
      <c r="BJ672" s="149"/>
      <c r="BK672" s="147"/>
    </row>
    <row r="673" spans="1:14" s="103" customFormat="1" ht="12.75">
      <c r="A673" s="97" t="s">
        <v>1643</v>
      </c>
      <c r="B673" s="97" t="s">
        <v>1150</v>
      </c>
      <c r="C673" s="97" t="s">
        <v>1466</v>
      </c>
      <c r="D673" s="97"/>
      <c r="E673" s="109" t="s">
        <v>1674</v>
      </c>
      <c r="F673" s="108" t="s">
        <v>1155</v>
      </c>
      <c r="G673" s="108">
        <v>1</v>
      </c>
      <c r="H673" s="108"/>
      <c r="I673" s="100"/>
      <c r="J673" s="101"/>
      <c r="K673" s="126">
        <f t="shared" si="183"/>
        <v>0</v>
      </c>
      <c r="L673" s="102"/>
      <c r="M673" s="166">
        <v>0</v>
      </c>
      <c r="N673" s="99"/>
    </row>
    <row r="674" spans="1:14" s="103" customFormat="1" ht="12.75">
      <c r="A674" s="97"/>
      <c r="B674" s="97"/>
      <c r="C674" s="97"/>
      <c r="D674" s="97"/>
      <c r="E674" s="142" t="s">
        <v>1697</v>
      </c>
      <c r="F674" s="108"/>
      <c r="G674" s="108"/>
      <c r="H674" s="108"/>
      <c r="I674" s="100"/>
      <c r="J674" s="101"/>
      <c r="K674" s="126">
        <f t="shared" si="183"/>
        <v>0</v>
      </c>
      <c r="L674" s="102"/>
      <c r="M674" s="166"/>
      <c r="N674" s="99"/>
    </row>
    <row r="675" spans="1:14" s="103" customFormat="1" ht="12.75">
      <c r="A675" s="97" t="s">
        <v>1644</v>
      </c>
      <c r="B675" s="97" t="s">
        <v>1150</v>
      </c>
      <c r="C675" s="97" t="s">
        <v>1467</v>
      </c>
      <c r="D675" s="97"/>
      <c r="E675" s="109" t="s">
        <v>1676</v>
      </c>
      <c r="F675" s="108" t="s">
        <v>1155</v>
      </c>
      <c r="G675" s="108">
        <v>1</v>
      </c>
      <c r="H675" s="108"/>
      <c r="I675" s="100"/>
      <c r="J675" s="101"/>
      <c r="K675" s="126">
        <f t="shared" si="183"/>
        <v>0</v>
      </c>
      <c r="L675" s="102"/>
      <c r="M675" s="166">
        <v>0</v>
      </c>
      <c r="N675" s="99"/>
    </row>
    <row r="676" spans="1:14" s="103" customFormat="1" ht="14.25" customHeight="1">
      <c r="A676" s="97" t="s">
        <v>1645</v>
      </c>
      <c r="B676" s="97" t="s">
        <v>1150</v>
      </c>
      <c r="C676" s="97" t="s">
        <v>1468</v>
      </c>
      <c r="D676" s="97"/>
      <c r="E676" s="134" t="s">
        <v>1469</v>
      </c>
      <c r="F676" s="108" t="s">
        <v>1155</v>
      </c>
      <c r="G676" s="108">
        <v>3</v>
      </c>
      <c r="H676" s="108"/>
      <c r="I676" s="100"/>
      <c r="J676" s="101"/>
      <c r="K676" s="126">
        <f t="shared" si="183"/>
        <v>0</v>
      </c>
      <c r="L676" s="102"/>
      <c r="M676" s="166">
        <v>0</v>
      </c>
      <c r="N676" s="99"/>
    </row>
    <row r="677" spans="1:63" s="146" customFormat="1" ht="12.75">
      <c r="A677" s="97"/>
      <c r="B677" s="145"/>
      <c r="C677" s="59" t="s">
        <v>991</v>
      </c>
      <c r="D677" s="142"/>
      <c r="E677" s="142" t="s">
        <v>1675</v>
      </c>
      <c r="F677" s="142"/>
      <c r="G677" s="142"/>
      <c r="H677" s="142"/>
      <c r="I677" s="142"/>
      <c r="J677" s="142"/>
      <c r="K677" s="142"/>
      <c r="L677" s="142"/>
      <c r="M677" s="171"/>
      <c r="N677" s="152"/>
      <c r="Y677" s="147"/>
      <c r="AA677" s="147"/>
      <c r="AB677" s="147"/>
      <c r="AC677" s="147"/>
      <c r="AD677" s="147"/>
      <c r="AE677" s="147"/>
      <c r="AF677" s="147"/>
      <c r="AG677" s="147"/>
      <c r="AH677" s="148"/>
      <c r="AI677" s="149"/>
      <c r="AJ677" s="149"/>
      <c r="AK677" s="149"/>
      <c r="AM677" s="147"/>
      <c r="AN677" s="147"/>
      <c r="AO677" s="147"/>
      <c r="AP677" s="150"/>
      <c r="AU677" s="147"/>
      <c r="AV677" s="147"/>
      <c r="AW677" s="147"/>
      <c r="AX677" s="151"/>
      <c r="AY677" s="151"/>
      <c r="AZ677" s="148"/>
      <c r="BB677" s="147"/>
      <c r="BC677" s="147"/>
      <c r="BD677" s="147"/>
      <c r="BE677" s="147"/>
      <c r="BG677" s="149"/>
      <c r="BH677" s="149"/>
      <c r="BI677" s="149"/>
      <c r="BJ677" s="149"/>
      <c r="BK677" s="147"/>
    </row>
    <row r="678" spans="1:13" ht="12.75">
      <c r="A678" s="8"/>
      <c r="B678" s="8"/>
      <c r="C678" s="8"/>
      <c r="D678" s="8"/>
      <c r="E678" s="8"/>
      <c r="F678" s="65"/>
      <c r="G678" s="65"/>
      <c r="H678" s="65"/>
      <c r="I678" s="244"/>
      <c r="J678" s="177"/>
      <c r="K678" s="132"/>
      <c r="L678" s="8"/>
      <c r="M678" s="8"/>
    </row>
  </sheetData>
  <sheetProtection/>
  <mergeCells count="494">
    <mergeCell ref="D657:E657"/>
    <mergeCell ref="D472:E472"/>
    <mergeCell ref="D473:E473"/>
    <mergeCell ref="D474:E474"/>
    <mergeCell ref="I678:J678"/>
    <mergeCell ref="D34:M34"/>
    <mergeCell ref="D46:M46"/>
    <mergeCell ref="D51:M51"/>
    <mergeCell ref="D76:M76"/>
    <mergeCell ref="D82:M82"/>
    <mergeCell ref="D92:M92"/>
    <mergeCell ref="D468:E468"/>
    <mergeCell ref="D469:E469"/>
    <mergeCell ref="D470:E470"/>
    <mergeCell ref="D471:E471"/>
    <mergeCell ref="D465:E465"/>
    <mergeCell ref="D466:E466"/>
    <mergeCell ref="D467:E467"/>
    <mergeCell ref="D461:E461"/>
    <mergeCell ref="D462:M462"/>
    <mergeCell ref="D463:E463"/>
    <mergeCell ref="D464:E464"/>
    <mergeCell ref="D455:E455"/>
    <mergeCell ref="D456:E456"/>
    <mergeCell ref="D457:E457"/>
    <mergeCell ref="D458:E458"/>
    <mergeCell ref="D459:E459"/>
    <mergeCell ref="D460:E460"/>
    <mergeCell ref="D448:E448"/>
    <mergeCell ref="D449:E449"/>
    <mergeCell ref="D450:E450"/>
    <mergeCell ref="D451:E451"/>
    <mergeCell ref="D452:E452"/>
    <mergeCell ref="D454:E454"/>
    <mergeCell ref="D443:E443"/>
    <mergeCell ref="D444:E444"/>
    <mergeCell ref="D445:E445"/>
    <mergeCell ref="D446:E446"/>
    <mergeCell ref="D447:E447"/>
    <mergeCell ref="D203:E203"/>
    <mergeCell ref="D204:M204"/>
    <mergeCell ref="D205:E205"/>
    <mergeCell ref="D436:E436"/>
    <mergeCell ref="D437:E437"/>
    <mergeCell ref="D438:E438"/>
    <mergeCell ref="D439:E439"/>
    <mergeCell ref="D441:E441"/>
    <mergeCell ref="D442:M442"/>
    <mergeCell ref="D440:M440"/>
    <mergeCell ref="D430:E43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29:E429"/>
    <mergeCell ref="D418:E418"/>
    <mergeCell ref="D419:E419"/>
    <mergeCell ref="D420:E420"/>
    <mergeCell ref="D421:E421"/>
    <mergeCell ref="D422:E422"/>
    <mergeCell ref="D423:E423"/>
    <mergeCell ref="D412:M412"/>
    <mergeCell ref="D413:E413"/>
    <mergeCell ref="D414:E414"/>
    <mergeCell ref="D415:E415"/>
    <mergeCell ref="D416:E416"/>
    <mergeCell ref="D417:E417"/>
    <mergeCell ref="D404:M404"/>
    <mergeCell ref="D407:E407"/>
    <mergeCell ref="D408:M408"/>
    <mergeCell ref="D409:E409"/>
    <mergeCell ref="D410:M410"/>
    <mergeCell ref="D411:E411"/>
    <mergeCell ref="D405:E405"/>
    <mergeCell ref="D406:M406"/>
    <mergeCell ref="D398:M398"/>
    <mergeCell ref="D399:E399"/>
    <mergeCell ref="D400:M400"/>
    <mergeCell ref="D401:E401"/>
    <mergeCell ref="D402:M402"/>
    <mergeCell ref="D403:E403"/>
    <mergeCell ref="D392:M392"/>
    <mergeCell ref="D393:E393"/>
    <mergeCell ref="D394:M394"/>
    <mergeCell ref="D395:E395"/>
    <mergeCell ref="D396:M396"/>
    <mergeCell ref="D397:E397"/>
    <mergeCell ref="D386:M386"/>
    <mergeCell ref="D387:E387"/>
    <mergeCell ref="D388:M388"/>
    <mergeCell ref="D389:E389"/>
    <mergeCell ref="D390:M390"/>
    <mergeCell ref="D391:E391"/>
    <mergeCell ref="D380:M380"/>
    <mergeCell ref="D381:E381"/>
    <mergeCell ref="D382:M382"/>
    <mergeCell ref="D383:E383"/>
    <mergeCell ref="D384:M384"/>
    <mergeCell ref="D385:E385"/>
    <mergeCell ref="D374:M374"/>
    <mergeCell ref="D375:E375"/>
    <mergeCell ref="D376:M376"/>
    <mergeCell ref="D377:E377"/>
    <mergeCell ref="D378:M378"/>
    <mergeCell ref="D379:E379"/>
    <mergeCell ref="D368:E368"/>
    <mergeCell ref="D369:E369"/>
    <mergeCell ref="D370:M370"/>
    <mergeCell ref="D371:E371"/>
    <mergeCell ref="D372:M372"/>
    <mergeCell ref="D373:E373"/>
    <mergeCell ref="D362:E362"/>
    <mergeCell ref="D364:E364"/>
    <mergeCell ref="D365:E365"/>
    <mergeCell ref="D366:E366"/>
    <mergeCell ref="D367:M367"/>
    <mergeCell ref="D363:M363"/>
    <mergeCell ref="D353:E353"/>
    <mergeCell ref="D355:E355"/>
    <mergeCell ref="D356:E356"/>
    <mergeCell ref="D358:E358"/>
    <mergeCell ref="D360:E360"/>
    <mergeCell ref="D354:M354"/>
    <mergeCell ref="D357:M357"/>
    <mergeCell ref="D359:M359"/>
    <mergeCell ref="D343:E343"/>
    <mergeCell ref="D345:E345"/>
    <mergeCell ref="D346:E346"/>
    <mergeCell ref="D347:E347"/>
    <mergeCell ref="D349:E349"/>
    <mergeCell ref="D351:E351"/>
    <mergeCell ref="D344:M344"/>
    <mergeCell ref="D348:M348"/>
    <mergeCell ref="D331:E331"/>
    <mergeCell ref="D333:E333"/>
    <mergeCell ref="D335:E335"/>
    <mergeCell ref="D337:E337"/>
    <mergeCell ref="D339:E339"/>
    <mergeCell ref="D341:E341"/>
    <mergeCell ref="D332:M332"/>
    <mergeCell ref="D334:M334"/>
    <mergeCell ref="D336:M336"/>
    <mergeCell ref="D338:M338"/>
    <mergeCell ref="D324:E324"/>
    <mergeCell ref="D325:E325"/>
    <mergeCell ref="D326:E326"/>
    <mergeCell ref="D327:E327"/>
    <mergeCell ref="D328:E328"/>
    <mergeCell ref="D329:E329"/>
    <mergeCell ref="D319:E319"/>
    <mergeCell ref="D320:E320"/>
    <mergeCell ref="D321:E321"/>
    <mergeCell ref="D322:E322"/>
    <mergeCell ref="D323:E323"/>
    <mergeCell ref="D99:E99"/>
    <mergeCell ref="D314:E314"/>
    <mergeCell ref="D315:E315"/>
    <mergeCell ref="D316:E316"/>
    <mergeCell ref="D317:E317"/>
    <mergeCell ref="D318:E318"/>
    <mergeCell ref="D476:E476"/>
    <mergeCell ref="D307:E307"/>
    <mergeCell ref="D308:E308"/>
    <mergeCell ref="D309:E309"/>
    <mergeCell ref="D311:E311"/>
    <mergeCell ref="D312:E312"/>
    <mergeCell ref="D313:E313"/>
    <mergeCell ref="D310:M310"/>
    <mergeCell ref="D330:M330"/>
    <mergeCell ref="D291:E291"/>
    <mergeCell ref="D292:E292"/>
    <mergeCell ref="D293:M293"/>
    <mergeCell ref="D294:E294"/>
    <mergeCell ref="D300:E300"/>
    <mergeCell ref="D302:E302"/>
    <mergeCell ref="D301:M301"/>
    <mergeCell ref="D342:M342"/>
    <mergeCell ref="D350:M350"/>
    <mergeCell ref="D296:E296"/>
    <mergeCell ref="D297:E297"/>
    <mergeCell ref="D298:E298"/>
    <mergeCell ref="D299:E299"/>
    <mergeCell ref="D303:E303"/>
    <mergeCell ref="D304:M304"/>
    <mergeCell ref="D305:E305"/>
    <mergeCell ref="D306:M306"/>
    <mergeCell ref="D352:M352"/>
    <mergeCell ref="D284:E284"/>
    <mergeCell ref="D285:M285"/>
    <mergeCell ref="D286:E286"/>
    <mergeCell ref="D287:E287"/>
    <mergeCell ref="D361:M361"/>
    <mergeCell ref="D340:M340"/>
    <mergeCell ref="D288:E288"/>
    <mergeCell ref="D289:E289"/>
    <mergeCell ref="D290:E290"/>
    <mergeCell ref="D278:E278"/>
    <mergeCell ref="D279:M279"/>
    <mergeCell ref="D280:E280"/>
    <mergeCell ref="D281:M281"/>
    <mergeCell ref="D282:E282"/>
    <mergeCell ref="D283:M283"/>
    <mergeCell ref="D272:E272"/>
    <mergeCell ref="D273:M273"/>
    <mergeCell ref="D274:E274"/>
    <mergeCell ref="D275:M275"/>
    <mergeCell ref="D276:E276"/>
    <mergeCell ref="D277:M277"/>
    <mergeCell ref="D265:M265"/>
    <mergeCell ref="D266:E266"/>
    <mergeCell ref="D267:E267"/>
    <mergeCell ref="D269:E269"/>
    <mergeCell ref="D270:E270"/>
    <mergeCell ref="D271:M271"/>
    <mergeCell ref="D268:M268"/>
    <mergeCell ref="D258:E258"/>
    <mergeCell ref="D259:E259"/>
    <mergeCell ref="D261:E261"/>
    <mergeCell ref="D262:E262"/>
    <mergeCell ref="D263:E263"/>
    <mergeCell ref="D264:E264"/>
    <mergeCell ref="D260:M260"/>
    <mergeCell ref="D251:M251"/>
    <mergeCell ref="D252:E252"/>
    <mergeCell ref="D253:E253"/>
    <mergeCell ref="D254:E254"/>
    <mergeCell ref="D255:E255"/>
    <mergeCell ref="D256:E256"/>
    <mergeCell ref="D244:E244"/>
    <mergeCell ref="D245:E245"/>
    <mergeCell ref="D247:E247"/>
    <mergeCell ref="D248:E248"/>
    <mergeCell ref="D249:M249"/>
    <mergeCell ref="D250:E250"/>
    <mergeCell ref="D246:M246"/>
    <mergeCell ref="D236:M236"/>
    <mergeCell ref="D237:E237"/>
    <mergeCell ref="D238:M238"/>
    <mergeCell ref="D239:E239"/>
    <mergeCell ref="D241:E241"/>
    <mergeCell ref="D242:E242"/>
    <mergeCell ref="D240:M240"/>
    <mergeCell ref="D225:E225"/>
    <mergeCell ref="D230:E230"/>
    <mergeCell ref="D232:E232"/>
    <mergeCell ref="D233:E233"/>
    <mergeCell ref="D235:E235"/>
    <mergeCell ref="D231:M231"/>
    <mergeCell ref="D234:M234"/>
    <mergeCell ref="D219:E219"/>
    <mergeCell ref="D226:M226"/>
    <mergeCell ref="D227:E227"/>
    <mergeCell ref="D228:E228"/>
    <mergeCell ref="D229:M229"/>
    <mergeCell ref="D220:E220"/>
    <mergeCell ref="D221:M221"/>
    <mergeCell ref="D222:E222"/>
    <mergeCell ref="D223:E223"/>
    <mergeCell ref="D224:M224"/>
    <mergeCell ref="D212:M212"/>
    <mergeCell ref="D214:E214"/>
    <mergeCell ref="D215:M215"/>
    <mergeCell ref="D216:E216"/>
    <mergeCell ref="D217:E217"/>
    <mergeCell ref="D218:M218"/>
    <mergeCell ref="D201:E201"/>
    <mergeCell ref="D202:E202"/>
    <mergeCell ref="D243:M243"/>
    <mergeCell ref="D206:E206"/>
    <mergeCell ref="D207:E207"/>
    <mergeCell ref="D209:E209"/>
    <mergeCell ref="D211:E211"/>
    <mergeCell ref="D213:E213"/>
    <mergeCell ref="D208:M208"/>
    <mergeCell ref="D210:M210"/>
    <mergeCell ref="D195:M195"/>
    <mergeCell ref="D196:E196"/>
    <mergeCell ref="D197:M197"/>
    <mergeCell ref="D198:E198"/>
    <mergeCell ref="D199:E199"/>
    <mergeCell ref="D200:M200"/>
    <mergeCell ref="D189:E189"/>
    <mergeCell ref="D190:M190"/>
    <mergeCell ref="D191:E191"/>
    <mergeCell ref="D192:E192"/>
    <mergeCell ref="D193:M193"/>
    <mergeCell ref="D194:E194"/>
    <mergeCell ref="D184:M184"/>
    <mergeCell ref="D185:M185"/>
    <mergeCell ref="D182:M182"/>
    <mergeCell ref="D186:E186"/>
    <mergeCell ref="D187:E187"/>
    <mergeCell ref="D188:M188"/>
    <mergeCell ref="D174:E174"/>
    <mergeCell ref="D175:E175"/>
    <mergeCell ref="D176:E176"/>
    <mergeCell ref="D177:E177"/>
    <mergeCell ref="D178:E178"/>
    <mergeCell ref="D257:M257"/>
    <mergeCell ref="D179:M179"/>
    <mergeCell ref="D180:E180"/>
    <mergeCell ref="D181:M181"/>
    <mergeCell ref="D183:E183"/>
    <mergeCell ref="D168:E168"/>
    <mergeCell ref="D169:E169"/>
    <mergeCell ref="D170:M170"/>
    <mergeCell ref="D171:E171"/>
    <mergeCell ref="D172:E172"/>
    <mergeCell ref="D173:E173"/>
    <mergeCell ref="D162:E162"/>
    <mergeCell ref="D164:E164"/>
    <mergeCell ref="D166:E166"/>
    <mergeCell ref="D161:M161"/>
    <mergeCell ref="D163:M163"/>
    <mergeCell ref="D165:M165"/>
    <mergeCell ref="D155:E155"/>
    <mergeCell ref="D156:E156"/>
    <mergeCell ref="D157:E157"/>
    <mergeCell ref="D158:M158"/>
    <mergeCell ref="D159:E159"/>
    <mergeCell ref="D160:E160"/>
    <mergeCell ref="D149:E149"/>
    <mergeCell ref="D150:M150"/>
    <mergeCell ref="D151:E151"/>
    <mergeCell ref="D152:M152"/>
    <mergeCell ref="D153:E153"/>
    <mergeCell ref="D154:M154"/>
    <mergeCell ref="D143:E143"/>
    <mergeCell ref="D144:M144"/>
    <mergeCell ref="D145:E145"/>
    <mergeCell ref="D146:M146"/>
    <mergeCell ref="D147:E147"/>
    <mergeCell ref="D148:M148"/>
    <mergeCell ref="D137:E137"/>
    <mergeCell ref="D138:M138"/>
    <mergeCell ref="D139:E139"/>
    <mergeCell ref="D140:M140"/>
    <mergeCell ref="D141:E141"/>
    <mergeCell ref="D142:M142"/>
    <mergeCell ref="D132:E132"/>
    <mergeCell ref="D133:M133"/>
    <mergeCell ref="D128:M128"/>
    <mergeCell ref="D134:E134"/>
    <mergeCell ref="D135:M135"/>
    <mergeCell ref="D136:E136"/>
    <mergeCell ref="D125:M125"/>
    <mergeCell ref="D126:E126"/>
    <mergeCell ref="D127:E127"/>
    <mergeCell ref="D129:E129"/>
    <mergeCell ref="D130:E130"/>
    <mergeCell ref="D131:M131"/>
    <mergeCell ref="D114:E114"/>
    <mergeCell ref="D115:M115"/>
    <mergeCell ref="D121:M121"/>
    <mergeCell ref="D122:E122"/>
    <mergeCell ref="D123:M123"/>
    <mergeCell ref="D124:E124"/>
    <mergeCell ref="D110:E110"/>
    <mergeCell ref="D167:M167"/>
    <mergeCell ref="D116:E116"/>
    <mergeCell ref="D117:M117"/>
    <mergeCell ref="D118:E118"/>
    <mergeCell ref="D119:M119"/>
    <mergeCell ref="D120:E120"/>
    <mergeCell ref="D111:M111"/>
    <mergeCell ref="D112:E112"/>
    <mergeCell ref="D113:M113"/>
    <mergeCell ref="D101:E101"/>
    <mergeCell ref="D102:E102"/>
    <mergeCell ref="D103:E103"/>
    <mergeCell ref="D104:M104"/>
    <mergeCell ref="D105:E105"/>
    <mergeCell ref="D295:M295"/>
    <mergeCell ref="D106:M106"/>
    <mergeCell ref="D107:E107"/>
    <mergeCell ref="D108:E108"/>
    <mergeCell ref="D109:M109"/>
    <mergeCell ref="D96:E96"/>
    <mergeCell ref="D97:E97"/>
    <mergeCell ref="D98:E98"/>
    <mergeCell ref="D100:E100"/>
    <mergeCell ref="D88:M88"/>
    <mergeCell ref="D89:E89"/>
    <mergeCell ref="D91:E91"/>
    <mergeCell ref="D93:E93"/>
    <mergeCell ref="D94:E94"/>
    <mergeCell ref="D95:M95"/>
    <mergeCell ref="D90:M90"/>
    <mergeCell ref="D81:E81"/>
    <mergeCell ref="D83:E83"/>
    <mergeCell ref="D84:M84"/>
    <mergeCell ref="D85:E85"/>
    <mergeCell ref="D86:M86"/>
    <mergeCell ref="D87:E87"/>
    <mergeCell ref="D74:E74"/>
    <mergeCell ref="D75:E75"/>
    <mergeCell ref="D77:E77"/>
    <mergeCell ref="D78:M78"/>
    <mergeCell ref="D79:E79"/>
    <mergeCell ref="D80:M80"/>
    <mergeCell ref="D68:M68"/>
    <mergeCell ref="D69:M69"/>
    <mergeCell ref="D70:E70"/>
    <mergeCell ref="D71:M71"/>
    <mergeCell ref="D72:E72"/>
    <mergeCell ref="D73:M73"/>
    <mergeCell ref="D62:M62"/>
    <mergeCell ref="D63:M63"/>
    <mergeCell ref="D64:E64"/>
    <mergeCell ref="D65:M65"/>
    <mergeCell ref="D66:M66"/>
    <mergeCell ref="D67:E67"/>
    <mergeCell ref="D56:M56"/>
    <mergeCell ref="D57:E57"/>
    <mergeCell ref="D58:E58"/>
    <mergeCell ref="D59:E59"/>
    <mergeCell ref="D60:M60"/>
    <mergeCell ref="D61:E61"/>
    <mergeCell ref="D50:E50"/>
    <mergeCell ref="D52:E52"/>
    <mergeCell ref="D53:E53"/>
    <mergeCell ref="D54:M54"/>
    <mergeCell ref="D55:E55"/>
    <mergeCell ref="D43:M43"/>
    <mergeCell ref="D44:E44"/>
    <mergeCell ref="D45:E45"/>
    <mergeCell ref="D47:E47"/>
    <mergeCell ref="D48:E48"/>
    <mergeCell ref="D49:E49"/>
    <mergeCell ref="D38:M38"/>
    <mergeCell ref="D39:E39"/>
    <mergeCell ref="D40:M40"/>
    <mergeCell ref="D41:E41"/>
    <mergeCell ref="D42:E42"/>
    <mergeCell ref="D32:E32"/>
    <mergeCell ref="D33:E33"/>
    <mergeCell ref="D35:E35"/>
    <mergeCell ref="D36:E36"/>
    <mergeCell ref="D37:E37"/>
    <mergeCell ref="D28:E28"/>
    <mergeCell ref="D29:E29"/>
    <mergeCell ref="D30:E30"/>
    <mergeCell ref="D31:E31"/>
    <mergeCell ref="D25:E25"/>
    <mergeCell ref="D26:E26"/>
    <mergeCell ref="D27:E27"/>
    <mergeCell ref="D20:E20"/>
    <mergeCell ref="D21:M21"/>
    <mergeCell ref="D22:E22"/>
    <mergeCell ref="D23:E23"/>
    <mergeCell ref="D24:E24"/>
    <mergeCell ref="D14:E14"/>
    <mergeCell ref="D15:M15"/>
    <mergeCell ref="D16:E16"/>
    <mergeCell ref="D17:M17"/>
    <mergeCell ref="D18:E18"/>
    <mergeCell ref="D19:M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M9"/>
    <mergeCell ref="A6:C7"/>
    <mergeCell ref="D6:E7"/>
    <mergeCell ref="F6:G7"/>
    <mergeCell ref="H6:H7"/>
    <mergeCell ref="I6:I7"/>
    <mergeCell ref="J6:M7"/>
    <mergeCell ref="A4:C5"/>
    <mergeCell ref="D4:E5"/>
    <mergeCell ref="F4:G5"/>
    <mergeCell ref="H4:H5"/>
    <mergeCell ref="I4:I5"/>
    <mergeCell ref="J4:M5"/>
    <mergeCell ref="A1:M1"/>
    <mergeCell ref="A2:C3"/>
    <mergeCell ref="D2:E3"/>
    <mergeCell ref="F2:G3"/>
    <mergeCell ref="H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Chmela</dc:creator>
  <cp:keywords/>
  <dc:description/>
  <cp:lastModifiedBy>Zbyněk Chmela</cp:lastModifiedBy>
  <dcterms:created xsi:type="dcterms:W3CDTF">2022-09-24T19:53:11Z</dcterms:created>
  <dcterms:modified xsi:type="dcterms:W3CDTF">2024-05-11T19:31:58Z</dcterms:modified>
  <cp:category/>
  <cp:version/>
  <cp:contentType/>
  <cp:contentStatus/>
</cp:coreProperties>
</file>