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Krycí list rozpočtu" sheetId="1" r:id="rId1"/>
    <sheet name="Stavební rozpočet - součet" sheetId="2" r:id="rId2"/>
    <sheet name="Stavební rozpočet" sheetId="3" r:id="rId3"/>
    <sheet name="Výkaz výměr" sheetId="4" r:id="rId4"/>
    <sheet name="VORN" sheetId="5" r:id="rId5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<sst xmlns="http://schemas.openxmlformats.org/spreadsheetml/2006/main" count="2571" uniqueCount="629">
  <si>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</si>
  <si>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</si>
  <si>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</si>
  <si>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</si>
  <si>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</si>
  <si>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</si>
  <si>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</si>
  <si>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</si>
  <si>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</si>
  <si>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</si>
  <si>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</si>
  <si>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</si>
  <si>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</si>
  <si>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</si>
  <si>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</si>
  <si>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</si>
  <si>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</si>
  <si>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</si>
  <si>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</si>
  <si>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</si>
  <si>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</si>
  <si>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</si>
  <si>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</si>
  <si>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</si>
  <si>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</si>
  <si>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</si>
  <si>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</si>
  <si>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</si>
  <si>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</si>
  <si>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</si>
  <si>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</si>
  <si>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</si>
  <si>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</si>
  <si>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</si>
  <si>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</si>
  <si>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</si>
  <si>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</si>
  <si>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</si>
  <si>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</si>
  <si>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</si>
  <si>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</si>
  <si>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</si>
  <si>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</si>
  <si>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</si>
  <si>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</si>
  <si>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</si>
  <si>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</si>
  <si>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</si>
  <si>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</si>
  <si>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</si>
  <si>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</si>
  <si>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</si>
  <si>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</si>
  <si>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</si>
  <si>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</si>
  <si>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</si>
  <si>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</si>
  <si>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</si>
  <si>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</si>
  <si>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</si>
  <si>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</si>
  <si>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</si>
  <si>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</si>
  <si>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</si>
  <si>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</si>
  <si>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</si>
  <si>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</si>
  <si>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</si>
  <si>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</si>
  <si>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</si>
  <si>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</si>
  <si>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</si>
  <si>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</si>
  <si>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</si>
  <si>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</si>
  <si>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</si>
  <si>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</si>
  <si>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</si>
  <si>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</si>
  <si>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</si>
  <si>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</si>
  <si>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</si>
  <si>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</si>
  <si>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</si>
  <si>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</si>
  <si>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</si>
  <si>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</si>
  <si>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</si>
  <si>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</si>
  <si>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</si>
  <si>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</si>
  <si>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</si>
  <si>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</si>
  <si>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</si>
  <si>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</si>
  <si>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</si>
  <si>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</si>
  <si>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</si>
  <si>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</si>
  <si>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</si>
  <si>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</si>
  <si>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</si>
  <si>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</si>
  <si>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</si>
  <si>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</si>
  <si>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</si>
  <si>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</si>
  <si>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</si>
  <si>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</si>
  <si>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</si>
  <si>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</si>
  <si>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</si>
  <si>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</si>
  <si>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</si>
  <si>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</si>
  <si>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</si>
  <si>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</si>
  <si>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</si>
  <si>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</si>
  <si>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</si>
  <si>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</si>
  <si>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</si>
  <si>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</si>
  <si>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</si>
  <si>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</si>
  <si>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</si>
  <si>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</si>
  <si>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</si>
  <si>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</si>
  <si>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Poznámka:</t>
  </si>
  <si>
    <t>Objekt</t>
  </si>
  <si>
    <t>SO-1</t>
  </si>
  <si>
    <t>SO-2</t>
  </si>
  <si>
    <t>SO-3</t>
  </si>
  <si>
    <t>SO-4</t>
  </si>
  <si>
    <t>SO-5</t>
  </si>
  <si>
    <t>SO-6</t>
  </si>
  <si>
    <t>SO-7</t>
  </si>
  <si>
    <t>Kód</t>
  </si>
  <si>
    <t>275121121R00</t>
  </si>
  <si>
    <t>879172100</t>
  </si>
  <si>
    <t>Varianta:</t>
  </si>
  <si>
    <t>879172101</t>
  </si>
  <si>
    <t>M21</t>
  </si>
  <si>
    <t>210290001</t>
  </si>
  <si>
    <t>122201102T00</t>
  </si>
  <si>
    <t>125203201R00</t>
  </si>
  <si>
    <t>162301101R00</t>
  </si>
  <si>
    <t>162701105R00</t>
  </si>
  <si>
    <t>162701109R00</t>
  </si>
  <si>
    <t>171201101R00</t>
  </si>
  <si>
    <t>181101102R00</t>
  </si>
  <si>
    <t>181006112R00</t>
  </si>
  <si>
    <t>180401212R00</t>
  </si>
  <si>
    <t>211521111R00</t>
  </si>
  <si>
    <t>211971110R00</t>
  </si>
  <si>
    <t>564651111R00</t>
  </si>
  <si>
    <t>564751111R00</t>
  </si>
  <si>
    <t>564851111R00</t>
  </si>
  <si>
    <t>565151111R00</t>
  </si>
  <si>
    <t>573111115R00</t>
  </si>
  <si>
    <t>573231111R00</t>
  </si>
  <si>
    <t>577141112RT2</t>
  </si>
  <si>
    <t>871318111R00</t>
  </si>
  <si>
    <t>28611225.A</t>
  </si>
  <si>
    <t>917862111RT7</t>
  </si>
  <si>
    <t>H22</t>
  </si>
  <si>
    <t>998225111R00</t>
  </si>
  <si>
    <t>133210012R00</t>
  </si>
  <si>
    <t>338171122R00</t>
  </si>
  <si>
    <t>14313776</t>
  </si>
  <si>
    <t>13890201</t>
  </si>
  <si>
    <t>767</t>
  </si>
  <si>
    <t>767920250R00</t>
  </si>
  <si>
    <t>55345</t>
  </si>
  <si>
    <t>998767101R00</t>
  </si>
  <si>
    <t>131201110R00</t>
  </si>
  <si>
    <t>132201112R00</t>
  </si>
  <si>
    <t>175101101RT2</t>
  </si>
  <si>
    <t>174101101R00</t>
  </si>
  <si>
    <t>451572111R00</t>
  </si>
  <si>
    <t>722</t>
  </si>
  <si>
    <t>722235126R00</t>
  </si>
  <si>
    <t>722249105R00</t>
  </si>
  <si>
    <t>7222410</t>
  </si>
  <si>
    <t>722253132R00</t>
  </si>
  <si>
    <t>722251129RT2</t>
  </si>
  <si>
    <t>722268615R00</t>
  </si>
  <si>
    <t>722269114R00</t>
  </si>
  <si>
    <t>850315121R00</t>
  </si>
  <si>
    <t>857314121T00</t>
  </si>
  <si>
    <t>552700810</t>
  </si>
  <si>
    <t>857262121R00</t>
  </si>
  <si>
    <t>552701212</t>
  </si>
  <si>
    <t>871211121R00</t>
  </si>
  <si>
    <t>286134121</t>
  </si>
  <si>
    <t>879172199R00</t>
  </si>
  <si>
    <t>891213111R00</t>
  </si>
  <si>
    <t>42228156</t>
  </si>
  <si>
    <t>891261111R00</t>
  </si>
  <si>
    <t>42228312</t>
  </si>
  <si>
    <t>42293200</t>
  </si>
  <si>
    <t>891267211R00</t>
  </si>
  <si>
    <t>42273760</t>
  </si>
  <si>
    <t>891269111R00</t>
  </si>
  <si>
    <t>42273506</t>
  </si>
  <si>
    <t>892233111T00</t>
  </si>
  <si>
    <t>892241111T00</t>
  </si>
  <si>
    <t>893152111R00</t>
  </si>
  <si>
    <t>28697261</t>
  </si>
  <si>
    <t>899103111RT2</t>
  </si>
  <si>
    <t>28697271</t>
  </si>
  <si>
    <t>899401111R00</t>
  </si>
  <si>
    <t>42200750</t>
  </si>
  <si>
    <t>899711122R00</t>
  </si>
  <si>
    <t>899731111R00</t>
  </si>
  <si>
    <t>H27</t>
  </si>
  <si>
    <t>998276101R00</t>
  </si>
  <si>
    <t>132201110R00</t>
  </si>
  <si>
    <t>162701109RT3</t>
  </si>
  <si>
    <t>451572211R00</t>
  </si>
  <si>
    <t>871313121RT2</t>
  </si>
  <si>
    <t>28697666</t>
  </si>
  <si>
    <t>342311611R00</t>
  </si>
  <si>
    <t>131201111R00</t>
  </si>
  <si>
    <t>271531111R00</t>
  </si>
  <si>
    <t>871353121RT2</t>
  </si>
  <si>
    <t>871373121RT2</t>
  </si>
  <si>
    <t>28611223.A</t>
  </si>
  <si>
    <t>895941311RT2</t>
  </si>
  <si>
    <t>894411111RT2</t>
  </si>
  <si>
    <t>213151111R00</t>
  </si>
  <si>
    <t>213151121R00</t>
  </si>
  <si>
    <t>28697910</t>
  </si>
  <si>
    <t>899203111RT3</t>
  </si>
  <si>
    <t>H28</t>
  </si>
  <si>
    <t>998289011R00</t>
  </si>
  <si>
    <t>210</t>
  </si>
  <si>
    <t>210020001</t>
  </si>
  <si>
    <t>210225</t>
  </si>
  <si>
    <t>M46</t>
  </si>
  <si>
    <t>460420018RT1</t>
  </si>
  <si>
    <t>460570273R00</t>
  </si>
  <si>
    <t>460490012RT1</t>
  </si>
  <si>
    <t>M65</t>
  </si>
  <si>
    <t>650125767RT2</t>
  </si>
  <si>
    <t>650111111RT2</t>
  </si>
  <si>
    <t>650111116RT3</t>
  </si>
  <si>
    <t>650111713RT2</t>
  </si>
  <si>
    <t>650111713RT3</t>
  </si>
  <si>
    <t>3457114701</t>
  </si>
  <si>
    <t>3457114702</t>
  </si>
  <si>
    <t>Zařízení pro sběr a výkup odpadů</t>
  </si>
  <si>
    <t>Střítež u Kaplice</t>
  </si>
  <si>
    <t>Zkrácený popis / Varianta</t>
  </si>
  <si>
    <t>Rozměry</t>
  </si>
  <si>
    <t>Sanitární a obytné kontejnery</t>
  </si>
  <si>
    <t>Základy</t>
  </si>
  <si>
    <t>Osazení podkladních konstrukcí pro usazení kontejnerů</t>
  </si>
  <si>
    <t>Potrubí z trub plastických, skleněných a čedičových</t>
  </si>
  <si>
    <t>Propojení sanitárního kontejneru na vodovodní přípojku DN 32-80</t>
  </si>
  <si>
    <t>vč. tepelné izolece tl. 100 mm</t>
  </si>
  <si>
    <t>Propojení sanitárního kontejneru na kanalizační přípojku DN 150</t>
  </si>
  <si>
    <t>Elektromontáže dodávka + montáž</t>
  </si>
  <si>
    <t>Připojení obytného kontejneru na elektrorozvody, uzemnění</t>
  </si>
  <si>
    <t>Asfaltová zpevněná plocha</t>
  </si>
  <si>
    <t>Odkopávky a prokopávky</t>
  </si>
  <si>
    <t>Odkopávky nezapažené v hor. 3 do 1000 m3</t>
  </si>
  <si>
    <t>2000*0,3</t>
  </si>
  <si>
    <t>850*0,3</t>
  </si>
  <si>
    <t>Hloubení odvodňovacích kanálů v hor. 3</t>
  </si>
  <si>
    <t>0,5*0,5*90</t>
  </si>
  <si>
    <t>Přemístění výkopku</t>
  </si>
  <si>
    <t>Vodorovné přemístění výkopku z hor.1-4 do 500 m</t>
  </si>
  <si>
    <t>Vodorovné přemístění výkopku z hor.1-4 do 10000 m</t>
  </si>
  <si>
    <t>600+22,5</t>
  </si>
  <si>
    <t>Příplatek k vod. přemístění hor.1-4 za další 1 km</t>
  </si>
  <si>
    <t>622,5*5</t>
  </si>
  <si>
    <t>Konstrukce ze zemin</t>
  </si>
  <si>
    <t>Uložení sypaniny do násypů nezhutněných</t>
  </si>
  <si>
    <t>Povrchové úpravy terénu</t>
  </si>
  <si>
    <t>Úprava pláně v zářezech v hor. 1-4, se zhutněním</t>
  </si>
  <si>
    <t>Rozprostření zemin v rov./sklonu 1:5, tl. do 15 cm</t>
  </si>
  <si>
    <t>Založení trávníku lučního výsevem ve svahu do 1:2</t>
  </si>
  <si>
    <t>Úprava podloží a základové spáry</t>
  </si>
  <si>
    <t>Výplň odvodňovacích žeber kam. hrubě drcen. 125 mm</t>
  </si>
  <si>
    <t>Opláštění žeber z geotextilie o sklonu do 1 : 2,5</t>
  </si>
  <si>
    <t>4*0,5*90</t>
  </si>
  <si>
    <t>Podkladní vrstvy komunikací, letišť a ploch</t>
  </si>
  <si>
    <t>Podklad z kameniva drceného 0-125 mm, tl. 15 cm</t>
  </si>
  <si>
    <t>Podklad z kameniva drceného vel.0-63 mm,tl. 15 cm</t>
  </si>
  <si>
    <t>Podklad ze štěrkodrti po zhutnění tloušťky 15 cm, fr. 0-125</t>
  </si>
  <si>
    <t>výměna podloží</t>
  </si>
  <si>
    <t>2*2850</t>
  </si>
  <si>
    <t>Podklad z obal kam.ACP 16+,tl. 7 cm</t>
  </si>
  <si>
    <t>Kryty pozemních komunikací, letišť a ploch z kameniva nebo živičné</t>
  </si>
  <si>
    <t>Postřik živičný infiltr.+ posyp, asfalt 2,5 kg/m2</t>
  </si>
  <si>
    <t>Postřik živičný spojovací z emulze 0,5-0,7 kg/m2</t>
  </si>
  <si>
    <t>Beton asfalt. ACO 11+,nebo ACO 16+,do 3 m, tl.5 cm</t>
  </si>
  <si>
    <t>plochy 201-1000 m2</t>
  </si>
  <si>
    <t>Kladení drenážního potrubí z plastických hmot</t>
  </si>
  <si>
    <t>Trubka PVC drenážní flexibilní d 160 mm</t>
  </si>
  <si>
    <t>Doplňující konstrukce a práce na pozemních komunikacích a zpevněných plochách</t>
  </si>
  <si>
    <t>Osazení stojat. obrub.bet. s opěrou,lože z C 12/15</t>
  </si>
  <si>
    <t>včetně obrubníku ABO 2 - 15 100/15/25</t>
  </si>
  <si>
    <t>Různé dokončovací konstrukce a práce inženýrských staveb</t>
  </si>
  <si>
    <t>Statická zatěžovací zkouška podkladových vrstev</t>
  </si>
  <si>
    <t>Komunikace pozemní a letiště</t>
  </si>
  <si>
    <t>Přesun hmot, pozemní komunikace, kryt živičný</t>
  </si>
  <si>
    <t>Oprava oplocení</t>
  </si>
  <si>
    <t>Hloubené vykopávky</t>
  </si>
  <si>
    <t>Hloubení šachet zem.vrtákem hor.3-4;D 20cm,hl.50cm</t>
  </si>
  <si>
    <t>Sloupy a pilíře, stožáry a rámové stojky</t>
  </si>
  <si>
    <t>Osazení sloupků vrat ocel. do 2,6 m, zabet.C 25/30</t>
  </si>
  <si>
    <t>Trubka ocelová hladká 11343  89x3,0 mm</t>
  </si>
  <si>
    <t>2*3</t>
  </si>
  <si>
    <t>Přirážka za pozinkování ocelových výrobků do 50 kg</t>
  </si>
  <si>
    <t>Konstrukce doplňkové stavební (zámečnické)</t>
  </si>
  <si>
    <t>Montáž vrat otevíracích dvoukřídlovýc na ocelové sloupky, plochy do 10 m2</t>
  </si>
  <si>
    <t>dodávka včetně zámku a kliky</t>
  </si>
  <si>
    <t>Ocelová vrata dvoukřídlová, 5000x200, vč. závěsů, kliky, zámku, spodní doraz</t>
  </si>
  <si>
    <t>Přesun hmot pro zámečnické konstr., výšky do 6 m</t>
  </si>
  <si>
    <t>Vodovodní přípojka</t>
  </si>
  <si>
    <t>Hloubení nezapaž. jam hor.3 do 50 m3, STROJNĚ</t>
  </si>
  <si>
    <t>2*1,1*1,2*1,5</t>
  </si>
  <si>
    <t>Hloubení rýh š.do 60 cm v hor.3 nad 100 m3,STROJNĚ</t>
  </si>
  <si>
    <t>180*0,6*1,5</t>
  </si>
  <si>
    <t>180*0,6*0,3</t>
  </si>
  <si>
    <t>36,36*5</t>
  </si>
  <si>
    <t>Obsyp potrubí bez prohození sypaniny</t>
  </si>
  <si>
    <t>s dodáním štěrkopísku frakce 0 - 22 mm</t>
  </si>
  <si>
    <t>180*0,6*0,2</t>
  </si>
  <si>
    <t>Zásyp jam, rýh, šachet se zhutněním</t>
  </si>
  <si>
    <t>180*0,6*1,1</t>
  </si>
  <si>
    <t>Podkladní a vedlejší konstrukce (kromě vozovek a železničního svršku)</t>
  </si>
  <si>
    <t>Lože pod potrubí z kameniva těženého 0 - 4 mm</t>
  </si>
  <si>
    <t>180*0,6*0,1</t>
  </si>
  <si>
    <t>Vnitřní vodovod</t>
  </si>
  <si>
    <t>Kohout vod.kul,vnitřní-vnitřní z. DN 50</t>
  </si>
  <si>
    <t>Montáž armatury požární - hydrant  G 2</t>
  </si>
  <si>
    <t>Armatura požární - ventil C52 mosazný</t>
  </si>
  <si>
    <t>Požární příslušenství-spojka hadicová požární C 52</t>
  </si>
  <si>
    <t>Požární příslušenství - hadice Pyrotex /20m/</t>
  </si>
  <si>
    <t>hadice Pyrotex C52 PES-R 30 bar se spoj., hydrant.</t>
  </si>
  <si>
    <t>Sestava vodoměrná s ventily Qn 6 DN 40-40</t>
  </si>
  <si>
    <t>Montáž vodoměru závitového jdnovt. suchob. G5/4"</t>
  </si>
  <si>
    <t>Potrubí z trub litinových</t>
  </si>
  <si>
    <t>Výřez nebo výsek na potrubí litinovém DN 150</t>
  </si>
  <si>
    <t>Montáž tvarovky litin. odboč. přír. výkop DN 150</t>
  </si>
  <si>
    <t>Odbočka přírub. T - TT DN 150x100 PN 10-40</t>
  </si>
  <si>
    <t>Montáž tvarovek litin. jednoos. přír. výkop DN 100</t>
  </si>
  <si>
    <t>Koleno patní PP 90° (N) - TT DN 100 PN 10-40</t>
  </si>
  <si>
    <t>Montáž trubek polyetylenových ve výkopu d 63 mm</t>
  </si>
  <si>
    <t>Trubka tlaková PE100 63x5,8 mm PN16</t>
  </si>
  <si>
    <t>180*1,02</t>
  </si>
  <si>
    <t>Příplatek za montáž vodovodních přípojek DN 32-80</t>
  </si>
  <si>
    <t>Ostatní konstrukce a práce na trubním vedení</t>
  </si>
  <si>
    <t>Montáž ventilů hlavních pro přípojky DN 50</t>
  </si>
  <si>
    <t>Šoupátko 2510 DN 2" pro dom.příp. - voda</t>
  </si>
  <si>
    <t>Montáž vodovodních šoupátek ve výkopu DN 100</t>
  </si>
  <si>
    <t>Šoupátko 4000E2 DN 100 přírubové, voda</t>
  </si>
  <si>
    <t>Souprava zemní šoupátková, 1,5m</t>
  </si>
  <si>
    <t>Montáž hydrantů nadzemních DN 100</t>
  </si>
  <si>
    <t>Hydrant nadz.litina 5051H4 DN 100 tuhý -voda</t>
  </si>
  <si>
    <t>Montáž navrtávacích pasů DN 150</t>
  </si>
  <si>
    <t>Pas navrtávací, kulový kohout, DN 150, 2"</t>
  </si>
  <si>
    <t>Desinfekce vodovodního potrubí do DN 70</t>
  </si>
  <si>
    <t>Tlaková zkouška vodovodního potrubí do DN 80</t>
  </si>
  <si>
    <t>Montáž šachty vodoměrné a revizní plastové hranaté</t>
  </si>
  <si>
    <t>Šachta vodoměrná v. 1600 mm, 900x12000, včetně obetonování 150 mm</t>
  </si>
  <si>
    <t>Osazení poklopu s rámem do 150 kg</t>
  </si>
  <si>
    <t>včetně dodávky poklopu lit. kruhového D 600</t>
  </si>
  <si>
    <t>Šachta vodovodní samonosná 600x600x800 mm s deskovým poklopem</t>
  </si>
  <si>
    <t>Osazení poklopů litinových ventilových</t>
  </si>
  <si>
    <t>Poklop uliční šoupátkový 1750  - voda</t>
  </si>
  <si>
    <t>Fólie výstražná z PVC šedá, šířka 30 cm</t>
  </si>
  <si>
    <t>Vodič signalizační CYY 1,5 mm2</t>
  </si>
  <si>
    <t>Vedení trubní dálková a přípojná</t>
  </si>
  <si>
    <t>Přesun hmot, trubní vedení plastová, otevř. výkop</t>
  </si>
  <si>
    <t>Přípojka splaškové kanalizace,jímka na vyvážení</t>
  </si>
  <si>
    <t>Hloubení rýh š.do 60 cm v hor.3 do 50 m3, STROJNĚ</t>
  </si>
  <si>
    <t>5*0,6*1,1</t>
  </si>
  <si>
    <t>4,5*2,5*2</t>
  </si>
  <si>
    <t>0,9+0,3+22,5</t>
  </si>
  <si>
    <t>nosnost 12 t</t>
  </si>
  <si>
    <t>23,7*5</t>
  </si>
  <si>
    <t>5*0,6*0,7</t>
  </si>
  <si>
    <t>5*0,6*0,3</t>
  </si>
  <si>
    <t>Lože pod potrubí z kameniva těženého 4 - 8 mm</t>
  </si>
  <si>
    <t>5*0,6*0,1</t>
  </si>
  <si>
    <t>Montáž trub z plastu, gumový kroužek, DN 150</t>
  </si>
  <si>
    <t>včetně dodávky trub PVC hrdlových 160x4,0x5000</t>
  </si>
  <si>
    <t>Žumpa plastová k obetonování, užitný objem 10,6 m3, dodávka+montáž</t>
  </si>
  <si>
    <t>Obetonování jímky z betonu prostého C 16/20</t>
  </si>
  <si>
    <t>4,8</t>
  </si>
  <si>
    <t>1,2</t>
  </si>
  <si>
    <t>Dešťová kanalizace,vsakovací objekt</t>
  </si>
  <si>
    <t>117*0,6*1,3</t>
  </si>
  <si>
    <t>Hloubení nezapaž. jam hor.3 do 100 m3, STROJNĚ</t>
  </si>
  <si>
    <t>8*4,8*2,7</t>
  </si>
  <si>
    <t>91,26+103,68-92,64</t>
  </si>
  <si>
    <t>102,3*5</t>
  </si>
  <si>
    <t>117*0,6*0,8</t>
  </si>
  <si>
    <t>103,68-61,44-5,76</t>
  </si>
  <si>
    <t>117*0,6*0,4</t>
  </si>
  <si>
    <t>Polštář základu z kameniva hr. drceného 16-63 mm</t>
  </si>
  <si>
    <t>8*4,8*0,15</t>
  </si>
  <si>
    <t>117*0,6*0,1</t>
  </si>
  <si>
    <t>Montáž trub z plastu, gumový kroužek, DN 200</t>
  </si>
  <si>
    <t>včetně dodávky trub PVC hrdlových 200x4,9x5000</t>
  </si>
  <si>
    <t>Montáž trub z plastu, gumový kroužek, DN 250</t>
  </si>
  <si>
    <t>včetně dodávky trub PVC hrdlových 250x7,7x5000</t>
  </si>
  <si>
    <t>Trubka PVC drenážní flexibilní d 100 mm</t>
  </si>
  <si>
    <t>Zřízení vpusti uliční z dílců typ UVB - 50</t>
  </si>
  <si>
    <t>včetně dodávky dílců pro uliční vpusti TBV</t>
  </si>
  <si>
    <t>Zřízení šachet z dílců,dno C 25/30, potrubí DN 200, 250</t>
  </si>
  <si>
    <t>včetně dílců TBS-Q 100/50 PS a TBR-Q 100-63/58 KPS</t>
  </si>
  <si>
    <t>Montáž vsakovacího bloku včetně dodávky</t>
  </si>
  <si>
    <t>Obalení vsakovacích bloků geotextílií</t>
  </si>
  <si>
    <t>(2*8*4,8)+(2*8*1,6)+(2*4,8*1,6)</t>
  </si>
  <si>
    <t>Blok vsakovací PP 800*800*320</t>
  </si>
  <si>
    <t>Osazení mříží litinových s rámem do 150kg</t>
  </si>
  <si>
    <t>včetně dodávky vtokové mříže 500 x 500 mm, D400</t>
  </si>
  <si>
    <t>Kabel VO</t>
  </si>
  <si>
    <t>Vedení elektrická a dráhy visuté</t>
  </si>
  <si>
    <t>Přesun hmot pro kabelovody jakéhokoliv rozsahu</t>
  </si>
  <si>
    <t>Výchozí revize nové elektroinstalace</t>
  </si>
  <si>
    <t>Výstražné symboly a značky</t>
  </si>
  <si>
    <t>Drobný spojovací materiál</t>
  </si>
  <si>
    <t>Zemní práce při montážích</t>
  </si>
  <si>
    <t>Zřízení kabelového lože v rýze š.do 35 cm z písku</t>
  </si>
  <si>
    <t>tloušťka vrstvy 15 cm - 2 vrstvy (lože+obsyp)</t>
  </si>
  <si>
    <t>2*245</t>
  </si>
  <si>
    <t>Zához rýhy 50/90 cm, hornina třídy 3, se zhutněním</t>
  </si>
  <si>
    <t>Fólie výstražná z PVC, šířka 33 cm</t>
  </si>
  <si>
    <t>fólie PVC šířka 33 cm</t>
  </si>
  <si>
    <t>Elektroinstalace</t>
  </si>
  <si>
    <t>Uložení kabelu Cu 5 x 6 mm2 volně</t>
  </si>
  <si>
    <t>včetně dodávky kabelu CYKY 5 x 6 mm2</t>
  </si>
  <si>
    <t>Uložení uzem. pásku na povrch do 120 mm2</t>
  </si>
  <si>
    <t>včetně dodávky pásku FeZn 30 x 4 mm</t>
  </si>
  <si>
    <t>Uložení uzem. drátu na povrchu do 10 mm</t>
  </si>
  <si>
    <t>včetně dodávky drátu FeZn 10 mm</t>
  </si>
  <si>
    <t>Montáž hromosvodové svorky nad 2 šrouby</t>
  </si>
  <si>
    <t>včetně dodávky svorky SR 2b</t>
  </si>
  <si>
    <t>včetně dodávky svorky SR 3b</t>
  </si>
  <si>
    <t>Ostatní materiál</t>
  </si>
  <si>
    <t>Trubka kabelová chránička KOPOFLEX KF 09050, dodávka+montáž, vč.protažení vodiče nebo lanka</t>
  </si>
  <si>
    <t>Trubka kabelová chránička KOPOFLEX KF 09063, dodávka+montáž, vč.protažení vodiče nebo lanka</t>
  </si>
  <si>
    <t>obetonování</t>
  </si>
  <si>
    <t>podklad jímky</t>
  </si>
  <si>
    <t>rýhy</t>
  </si>
  <si>
    <t>vsak</t>
  </si>
  <si>
    <t>Doba výstavby:</t>
  </si>
  <si>
    <t>Začátek výstavby:</t>
  </si>
  <si>
    <t>Konec výstavby:</t>
  </si>
  <si>
    <t>Zpracováno dne:</t>
  </si>
  <si>
    <t>MJ</t>
  </si>
  <si>
    <t>kus</t>
  </si>
  <si>
    <t>m3</t>
  </si>
  <si>
    <t>m2</t>
  </si>
  <si>
    <t>m</t>
  </si>
  <si>
    <t>t</t>
  </si>
  <si>
    <t>kg</t>
  </si>
  <si>
    <t>soubor</t>
  </si>
  <si>
    <t>ks</t>
  </si>
  <si>
    <t>Množství</t>
  </si>
  <si>
    <t>28.06.2022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</si>
  <si>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</si>
  <si>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</si>
  <si>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</si>
  <si>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</si>
  <si>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</si>
  <si>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</si>
  <si>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</si>
  <si>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</si>
  <si>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</si>
  <si>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</si>
  <si>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</si>
  <si>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</si>
  <si>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</si>
  <si>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</si>
  <si>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</si>
  <si>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</si>
  <si>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RTS I / 2022</t>
  </si>
  <si>
    <t>RTS I / 2020</t>
  </si>
  <si>
    <t>RTS II / 2020</t>
  </si>
  <si>
    <t>RTS II / 2019</t>
  </si>
  <si>
    <t>RTS 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</si>
  <si>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</si>
  <si>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</si>
  <si>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</si>
  <si>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</si>
  <si>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</si>
  <si>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</si>
  <si>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</si>
  <si>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</si>
  <si>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</si>
  <si>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</si>
  <si>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27_</t>
  </si>
  <si>
    <t>87_</t>
  </si>
  <si>
    <t>M21_</t>
  </si>
  <si>
    <t>12_</t>
  </si>
  <si>
    <t>16_</t>
  </si>
  <si>
    <t>17_</t>
  </si>
  <si>
    <t>18_</t>
  </si>
  <si>
    <t>21_</t>
  </si>
  <si>
    <t>56_</t>
  </si>
  <si>
    <t>57_</t>
  </si>
  <si>
    <t>91_</t>
  </si>
  <si>
    <t>93_</t>
  </si>
  <si>
    <t>H22_</t>
  </si>
  <si>
    <t>13_</t>
  </si>
  <si>
    <t>33_</t>
  </si>
  <si>
    <t>767_</t>
  </si>
  <si>
    <t>45_</t>
  </si>
  <si>
    <t>722_</t>
  </si>
  <si>
    <t>85_</t>
  </si>
  <si>
    <t>89_</t>
  </si>
  <si>
    <t>H27_</t>
  </si>
  <si>
    <t>H28_</t>
  </si>
  <si>
    <t>M46_</t>
  </si>
  <si>
    <t>M65_</t>
  </si>
  <si>
    <t>Z99999_</t>
  </si>
  <si>
    <t>SO-1_2_</t>
  </si>
  <si>
    <t>SO-1_8_</t>
  </si>
  <si>
    <t>SO-1_9_</t>
  </si>
  <si>
    <t>SO-2_1_</t>
  </si>
  <si>
    <t>SO-2_2_</t>
  </si>
  <si>
    <t>SO-2_5_</t>
  </si>
  <si>
    <t>SO-2_8_</t>
  </si>
  <si>
    <t>SO-2_9_</t>
  </si>
  <si>
    <t>SO-3_1_</t>
  </si>
  <si>
    <t>SO-3_3_</t>
  </si>
  <si>
    <t>SO-3_76_</t>
  </si>
  <si>
    <t>SO-4_1_</t>
  </si>
  <si>
    <t>SO-4_4_</t>
  </si>
  <si>
    <t>SO-4_72_</t>
  </si>
  <si>
    <t>SO-4_8_</t>
  </si>
  <si>
    <t>SO-4_9_</t>
  </si>
  <si>
    <t>SO-5_1_</t>
  </si>
  <si>
    <t>SO-5_4_</t>
  </si>
  <si>
    <t>SO-5_8_</t>
  </si>
  <si>
    <t>SO-6_1_</t>
  </si>
  <si>
    <t>SO-6_2_</t>
  </si>
  <si>
    <t>SO-6_4_</t>
  </si>
  <si>
    <t>SO-6_8_</t>
  </si>
  <si>
    <t>SO-6_9_</t>
  </si>
  <si>
    <t>SO-7_9_</t>
  </si>
  <si>
    <t>SO-7_Z_</t>
  </si>
  <si>
    <t>SO-1_</t>
  </si>
  <si>
    <t>SO-2_</t>
  </si>
  <si>
    <t>SO-3_</t>
  </si>
  <si>
    <t>SO-4_</t>
  </si>
  <si>
    <t>SO-5_</t>
  </si>
  <si>
    <t>SO-6_</t>
  </si>
  <si>
    <t>SO-7_</t>
  </si>
  <si>
    <t>MAT</t>
  </si>
  <si>
    <t>WORK</t>
  </si>
  <si>
    <t>CELK</t>
  </si>
  <si>
    <t>ISWORK</t>
  </si>
  <si>
    <t>P</t>
  </si>
  <si>
    <t>M</t>
  </si>
  <si>
    <t>GROUPCODE</t>
  </si>
  <si>
    <t>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</si>
  <si>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</si>
  <si>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</si>
  <si>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</si>
  <si>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</si>
  <si>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</si>
  <si>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</si>
  <si>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</si>
  <si>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Výkaz výměr</t>
  </si>
  <si>
    <t>Potřebné množství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</si>
  <si>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</si>
  <si>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</si>
  <si>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</si>
  <si>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</si>
  <si>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</si>
  <si>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</si>
  <si>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</si>
  <si>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</si>
  <si>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</si>
  <si>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</si>
  <si>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</si>
  <si>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</si>
  <si>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</si>
  <si>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</si>
  <si>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</si>
  <si>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</si>
  <si>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Vytýčení stáv. sítí</t>
  </si>
  <si>
    <t>Geodetické vytýčení</t>
  </si>
  <si>
    <t>Geodetické zaměření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</si>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</sst>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59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i/>
      <sz val="9"/>
      <color indexed="63"/>
      <name val="Arial"/>
      <family val="0"/>
    </font>
    <font>
      <i/>
      <sz val="9"/>
      <color indexed="50"/>
      <name val="Arial"/>
      <family val="0"/>
    </font>
    <font>
      <i/>
      <sz val="9"/>
      <color indexed="61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0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21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9" fillId="33" borderId="18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9" fillId="33" borderId="18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9" fillId="33" borderId="27" xfId="0" applyNumberFormat="1" applyFont="1" applyFill="1" applyBorder="1" applyAlignment="1" applyProtection="1">
      <alignment horizontal="right" vertical="center"/>
      <protection/>
    </xf>
    <xf numFmtId="49" fontId="10" fillId="34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9" fillId="33" borderId="28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Fill="1" applyBorder="1" applyAlignment="1" applyProtection="1">
      <alignment horizontal="right" vertical="center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8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9" fontId="10" fillId="34" borderId="12" xfId="0" applyNumberFormat="1" applyFont="1" applyFill="1" applyBorder="1" applyAlignment="1" applyProtection="1">
      <alignment horizontal="left" vertical="center"/>
      <protection/>
    </xf>
    <xf numFmtId="49" fontId="10" fillId="34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10" fillId="34" borderId="18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right" vertical="center"/>
      <protection/>
    </xf>
    <xf numFmtId="49" fontId="10" fillId="34" borderId="18" xfId="0" applyNumberFormat="1" applyFont="1" applyFill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Fill="1" applyBorder="1" applyAlignment="1" applyProtection="1">
      <alignment horizontal="left" vertical="center"/>
      <protection/>
    </xf>
    <xf numFmtId="49" fontId="10" fillId="34" borderId="27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7" fillId="0" borderId="28" xfId="0" applyNumberFormat="1" applyFont="1" applyFill="1" applyBorder="1" applyAlignment="1" applyProtection="1">
      <alignment horizontal="right" vertical="center"/>
      <protection/>
    </xf>
    <xf numFmtId="4" fontId="6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9" fillId="35" borderId="35" xfId="0" applyNumberFormat="1" applyFont="1" applyFill="1" applyBorder="1" applyAlignment="1" applyProtection="1">
      <alignment horizontal="center" vertical="center"/>
      <protection/>
    </xf>
    <xf numFmtId="49" fontId="20" fillId="0" borderId="36" xfId="0" applyNumberFormat="1" applyFont="1" applyFill="1" applyBorder="1" applyAlignment="1" applyProtection="1">
      <alignment horizontal="left" vertical="center"/>
      <protection/>
    </xf>
    <xf numFmtId="49" fontId="20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49" fontId="21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21" fillId="0" borderId="35" xfId="0" applyNumberFormat="1" applyFont="1" applyFill="1" applyBorder="1" applyAlignment="1" applyProtection="1">
      <alignment horizontal="right" vertical="center"/>
      <protection/>
    </xf>
    <xf numFmtId="49" fontId="21" fillId="0" borderId="35" xfId="0" applyNumberFormat="1" applyFont="1" applyFill="1" applyBorder="1" applyAlignment="1" applyProtection="1">
      <alignment horizontal="right" vertical="center"/>
      <protection/>
    </xf>
    <xf numFmtId="4" fontId="21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20" fillId="35" borderId="40" xfId="0" applyNumberFormat="1" applyFont="1" applyFill="1" applyBorder="1" applyAlignment="1" applyProtection="1">
      <alignment horizontal="right"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9" fontId="3" fillId="0" borderId="43" xfId="0" applyNumberFormat="1" applyFont="1" applyFill="1" applyBorder="1" applyAlignment="1" applyProtection="1">
      <alignment horizontal="right" vertical="center"/>
      <protection/>
    </xf>
    <xf numFmtId="4" fontId="1" fillId="0" borderId="35" xfId="0" applyNumberFormat="1" applyFont="1" applyFill="1" applyBorder="1" applyAlignment="1" applyProtection="1">
      <alignment horizontal="right" vertical="center"/>
      <protection/>
    </xf>
    <xf numFmtId="4" fontId="1" fillId="0" borderId="23" xfId="0" applyNumberFormat="1" applyFont="1" applyFill="1" applyBorder="1" applyAlignment="1" applyProtection="1">
      <alignment horizontal="right" vertical="center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right" vertical="center"/>
      <protection/>
    </xf>
    <xf numFmtId="4" fontId="3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21" fillId="0" borderId="3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44" xfId="0" applyNumberFormat="1" applyFont="1" applyFill="1" applyBorder="1" applyAlignment="1" applyProtection="1">
      <alignment horizontal="left" vertical="center"/>
      <protection/>
    </xf>
    <xf numFmtId="49" fontId="21" fillId="0" borderId="45" xfId="0" applyNumberFormat="1" applyFont="1" applyFill="1" applyBorder="1" applyAlignment="1" applyProtection="1">
      <alignment horizontal="left" vertical="center"/>
      <protection/>
    </xf>
    <xf numFmtId="0" fontId="21" fillId="0" borderId="42" xfId="0" applyNumberFormat="1" applyFont="1" applyFill="1" applyBorder="1" applyAlignment="1" applyProtection="1">
      <alignment horizontal="left" vertical="center"/>
      <protection/>
    </xf>
    <xf numFmtId="0" fontId="21" fillId="0" borderId="46" xfId="0" applyNumberFormat="1" applyFont="1" applyFill="1" applyBorder="1" applyAlignment="1" applyProtection="1">
      <alignment horizontal="left" vertical="center"/>
      <protection/>
    </xf>
    <xf numFmtId="49" fontId="20" fillId="35" borderId="47" xfId="0" applyNumberFormat="1" applyFont="1" applyFill="1" applyBorder="1" applyAlignment="1" applyProtection="1">
      <alignment horizontal="left" vertical="center"/>
      <protection/>
    </xf>
    <xf numFmtId="0" fontId="20" fillId="35" borderId="48" xfId="0" applyNumberFormat="1" applyFont="1" applyFill="1" applyBorder="1" applyAlignment="1" applyProtection="1">
      <alignment horizontal="left" vertical="center"/>
      <protection/>
    </xf>
    <xf numFmtId="49" fontId="21" fillId="0" borderId="49" xfId="0" applyNumberFormat="1" applyFont="1" applyFill="1" applyBorder="1" applyAlignment="1" applyProtection="1">
      <alignment horizontal="left" vertical="center"/>
      <protection/>
    </xf>
    <xf numFmtId="0" fontId="21" fillId="0" borderId="18" xfId="0" applyNumberFormat="1" applyFont="1" applyFill="1" applyBorder="1" applyAlignment="1" applyProtection="1">
      <alignment horizontal="left" vertical="center"/>
      <protection/>
    </xf>
    <xf numFmtId="0" fontId="21" fillId="0" borderId="50" xfId="0" applyNumberFormat="1" applyFont="1" applyFill="1" applyBorder="1" applyAlignment="1" applyProtection="1">
      <alignment horizontal="left" vertical="center"/>
      <protection/>
    </xf>
    <xf numFmtId="49" fontId="20" fillId="0" borderId="47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49" fontId="21" fillId="0" borderId="47" xfId="0" applyNumberFormat="1" applyFont="1" applyFill="1" applyBorder="1" applyAlignment="1" applyProtection="1">
      <alignment horizontal="left" vertical="center"/>
      <protection/>
    </xf>
    <xf numFmtId="0" fontId="21" fillId="0" borderId="40" xfId="0" applyNumberFormat="1" applyFont="1" applyFill="1" applyBorder="1" applyAlignment="1" applyProtection="1">
      <alignment horizontal="left" vertical="center"/>
      <protection/>
    </xf>
    <xf numFmtId="49" fontId="18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8" xfId="0" applyNumberFormat="1" applyFont="1" applyFill="1" applyBorder="1" applyAlignment="1" applyProtection="1">
      <alignment horizontal="center" vertical="center"/>
      <protection/>
    </xf>
    <xf numFmtId="49" fontId="22" fillId="0" borderId="47" xfId="0" applyNumberFormat="1" applyFont="1" applyFill="1" applyBorder="1" applyAlignment="1" applyProtection="1">
      <alignment horizontal="left" vertical="center"/>
      <protection/>
    </xf>
    <xf numFmtId="0" fontId="22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28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49" fontId="3" fillId="0" borderId="52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49" fontId="9" fillId="33" borderId="18" xfId="0" applyNumberFormat="1" applyFont="1" applyFill="1" applyBorder="1" applyAlignment="1" applyProtection="1">
      <alignment horizontal="left" vertical="center"/>
      <protection/>
    </xf>
    <xf numFmtId="0" fontId="9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57" xfId="0" applyNumberFormat="1" applyFont="1" applyFill="1" applyBorder="1" applyAlignment="1" applyProtection="1">
      <alignment horizontal="left" vertical="center"/>
      <protection/>
    </xf>
    <xf numFmtId="0" fontId="3" fillId="0" borderId="58" xfId="0" applyNumberFormat="1" applyFont="1" applyFill="1" applyBorder="1" applyAlignment="1" applyProtection="1">
      <alignment horizontal="left" vertical="center"/>
      <protection/>
    </xf>
    <xf numFmtId="49" fontId="10" fillId="34" borderId="18" xfId="0" applyNumberFormat="1" applyFont="1" applyFill="1" applyBorder="1" applyAlignment="1" applyProtection="1">
      <alignment horizontal="left" vertical="center"/>
      <protection/>
    </xf>
    <xf numFmtId="0" fontId="10" fillId="34" borderId="18" xfId="0" applyNumberFormat="1" applyFont="1" applyFill="1" applyBorder="1" applyAlignment="1" applyProtection="1">
      <alignment horizontal="left" vertical="center"/>
      <protection/>
    </xf>
    <xf numFmtId="49" fontId="1" fillId="0" borderId="59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49" fontId="3" fillId="0" borderId="61" xfId="0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62" xfId="0" applyNumberFormat="1" applyFont="1" applyFill="1" applyBorder="1" applyAlignment="1" applyProtection="1">
      <alignment horizontal="left" vertical="center"/>
      <protection/>
    </xf>
    <xf numFmtId="49" fontId="20" fillId="0" borderId="61" xfId="0" applyNumberFormat="1" applyFont="1" applyFill="1" applyBorder="1" applyAlignment="1" applyProtection="1">
      <alignment horizontal="left" vertical="center"/>
      <protection/>
    </xf>
    <xf numFmtId="0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62" xfId="0" applyNumberFormat="1" applyFont="1" applyFill="1" applyBorder="1" applyAlignment="1" applyProtection="1">
      <alignment horizontal="left" vertical="center"/>
      <protection/>
    </xf>
    <xf numFmtId="4" fontId="20" fillId="0" borderId="61" xfId="0" applyNumberFormat="1" applyFont="1" applyFill="1" applyBorder="1" applyAlignment="1" applyProtection="1">
      <alignment horizontal="right" vertical="center"/>
      <protection/>
    </xf>
    <xf numFmtId="0" fontId="20" fillId="0" borderId="41" xfId="0" applyNumberFormat="1" applyFont="1" applyFill="1" applyBorder="1" applyAlignment="1" applyProtection="1">
      <alignment horizontal="right" vertical="center"/>
      <protection/>
    </xf>
    <xf numFmtId="0" fontId="20" fillId="0" borderId="62" xfId="0" applyNumberFormat="1" applyFont="1" applyFill="1" applyBorder="1" applyAlignment="1" applyProtection="1">
      <alignment horizontal="right" vertical="center"/>
      <protection/>
    </xf>
    <xf numFmtId="49" fontId="20" fillId="0" borderId="42" xfId="0" applyNumberFormat="1" applyFont="1" applyFill="1" applyBorder="1" applyAlignment="1" applyProtection="1">
      <alignment horizontal="left" vertical="center"/>
      <protection/>
    </xf>
    <xf numFmtId="0" fontId="20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54" xfId="0" applyNumberFormat="1" applyFont="1" applyFill="1" applyBorder="1" applyAlignment="1" applyProtection="1">
      <alignment horizontal="left" vertical="center"/>
      <protection/>
    </xf>
    <xf numFmtId="0" fontId="3" fillId="0" borderId="55" xfId="0" applyNumberFormat="1" applyFont="1" applyFill="1" applyBorder="1" applyAlignment="1" applyProtection="1">
      <alignment horizontal="left" vertical="center"/>
      <protection/>
    </xf>
    <xf numFmtId="0" fontId="3" fillId="0" borderId="56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115"/>
      <c r="B1" s="91"/>
      <c r="C1" s="146" t="s">
        <v>588</v>
      </c>
      <c r="D1" s="147"/>
      <c r="E1" s="147"/>
      <c r="F1" s="147"/>
      <c r="G1" s="147"/>
      <c r="H1" s="147"/>
      <c r="I1" s="147"/>
    </row>
    <row r="2" spans="1:10" ht="12.75">
      <c r="A2" s="148" t="s">
        <v>1</v>
      </c>
      <c r="B2" s="149"/>
      <c r="C2" s="150" t="str">
        <f>'Stavební rozpočet'!D2</f>
        <v>Zařízení pro sběr a výkup odpadů</v>
      </c>
      <c r="D2" s="151"/>
      <c r="E2" s="153" t="s">
        <v>470</v>
      </c>
      <c r="F2" s="153" t="str">
        <f>'Stavební rozpočet'!J2</f>
        <v> </v>
      </c>
      <c r="G2" s="149"/>
      <c r="H2" s="153" t="s">
        <v>613</v>
      </c>
      <c r="I2" s="154"/>
      <c r="J2" s="6"/>
    </row>
    <row r="3" spans="1:10" ht="12.75">
      <c r="A3" s="143"/>
      <c r="B3" s="117"/>
      <c r="C3" s="152"/>
      <c r="D3" s="152"/>
      <c r="E3" s="117"/>
      <c r="F3" s="117"/>
      <c r="G3" s="117"/>
      <c r="H3" s="117"/>
      <c r="I3" s="145"/>
      <c r="J3" s="6"/>
    </row>
    <row r="4" spans="1:10" ht="12.75">
      <c r="A4" s="137" t="s">
        <v>2</v>
      </c>
      <c r="B4" s="117"/>
      <c r="C4" s="116" t="str">
        <f>'Stavební rozpočet'!D4</f>
        <v> </v>
      </c>
      <c r="D4" s="117"/>
      <c r="E4" s="116" t="s">
        <v>471</v>
      </c>
      <c r="F4" s="116" t="str">
        <f>'Stavební rozpočet'!J4</f>
        <v> </v>
      </c>
      <c r="G4" s="117"/>
      <c r="H4" s="116" t="s">
        <v>613</v>
      </c>
      <c r="I4" s="144"/>
      <c r="J4" s="6"/>
    </row>
    <row r="5" spans="1:10" ht="12.75">
      <c r="A5" s="143"/>
      <c r="B5" s="117"/>
      <c r="C5" s="117"/>
      <c r="D5" s="117"/>
      <c r="E5" s="117"/>
      <c r="F5" s="117"/>
      <c r="G5" s="117"/>
      <c r="H5" s="117"/>
      <c r="I5" s="145"/>
      <c r="J5" s="6"/>
    </row>
    <row r="6" spans="1:10" ht="12.75">
      <c r="A6" s="137" t="s">
        <v>3</v>
      </c>
      <c r="B6" s="117"/>
      <c r="C6" s="116" t="str">
        <f>'Stavební rozpočet'!D6</f>
        <v>Střítež u Kaplice</v>
      </c>
      <c r="D6" s="117"/>
      <c r="E6" s="116" t="s">
        <v>472</v>
      </c>
      <c r="F6" s="116" t="str">
        <f>'Stavební rozpočet'!J6</f>
        <v> </v>
      </c>
      <c r="G6" s="117"/>
      <c r="H6" s="116" t="s">
        <v>613</v>
      </c>
      <c r="I6" s="144"/>
      <c r="J6" s="6"/>
    </row>
    <row r="7" spans="1:10" ht="12.75">
      <c r="A7" s="143"/>
      <c r="B7" s="117"/>
      <c r="C7" s="117"/>
      <c r="D7" s="117"/>
      <c r="E7" s="117"/>
      <c r="F7" s="117"/>
      <c r="G7" s="117"/>
      <c r="H7" s="117"/>
      <c r="I7" s="145"/>
      <c r="J7" s="6"/>
    </row>
    <row r="8" spans="1:10" ht="12.75">
      <c r="A8" s="137" t="s">
        <v>454</v>
      </c>
      <c r="B8" s="117"/>
      <c r="C8" s="116" t="str">
        <f>'Stavební rozpočet'!H4</f>
        <v> </v>
      </c>
      <c r="D8" s="117"/>
      <c r="E8" s="116" t="s">
        <v>455</v>
      </c>
      <c r="F8" s="116" t="str">
        <f>'Stavební rozpočet'!H6</f>
        <v> </v>
      </c>
      <c r="G8" s="117"/>
      <c r="H8" s="140" t="s">
        <v>614</v>
      </c>
      <c r="I8" s="144" t="s">
        <v>128</v>
      </c>
      <c r="J8" s="6"/>
    </row>
    <row r="9" spans="1:10" ht="12.75">
      <c r="A9" s="143"/>
      <c r="B9" s="117"/>
      <c r="C9" s="117"/>
      <c r="D9" s="117"/>
      <c r="E9" s="117"/>
      <c r="F9" s="117"/>
      <c r="G9" s="117"/>
      <c r="H9" s="117"/>
      <c r="I9" s="145"/>
      <c r="J9" s="6"/>
    </row>
    <row r="10" spans="1:10" ht="12.75">
      <c r="A10" s="137" t="s">
        <v>4</v>
      </c>
      <c r="B10" s="117"/>
      <c r="C10" s="116" t="str">
        <f>'Stavební rozpočet'!D8</f>
        <v> </v>
      </c>
      <c r="D10" s="117"/>
      <c r="E10" s="116" t="s">
        <v>473</v>
      </c>
      <c r="F10" s="116" t="str">
        <f>'Stavební rozpočet'!J8</f>
        <v> </v>
      </c>
      <c r="G10" s="117"/>
      <c r="H10" s="140" t="s">
        <v>615</v>
      </c>
      <c r="I10" s="141" t="str">
        <f>'Stavební rozpočet'!H8</f>
        <v>28.06.2022</v>
      </c>
      <c r="J10" s="6"/>
    </row>
    <row r="11" spans="1:10" ht="12.75">
      <c r="A11" s="138"/>
      <c r="B11" s="139"/>
      <c r="C11" s="139"/>
      <c r="D11" s="139"/>
      <c r="E11" s="139"/>
      <c r="F11" s="139"/>
      <c r="G11" s="139"/>
      <c r="H11" s="139"/>
      <c r="I11" s="142"/>
      <c r="J11" s="6"/>
    </row>
    <row r="12" spans="1:9" ht="23.25" customHeight="1">
      <c r="A12" s="133" t="s">
        <v>574</v>
      </c>
      <c r="B12" s="134"/>
      <c r="C12" s="134"/>
      <c r="D12" s="134"/>
      <c r="E12" s="134"/>
      <c r="F12" s="134"/>
      <c r="G12" s="134"/>
      <c r="H12" s="134"/>
      <c r="I12" s="134"/>
    </row>
    <row r="13" spans="1:10" ht="26.25" customHeight="1">
      <c r="A13" s="92" t="s">
        <v>575</v>
      </c>
      <c r="B13" s="135" t="s">
        <v>586</v>
      </c>
      <c r="C13" s="136"/>
      <c r="D13" s="92" t="s">
        <v>589</v>
      </c>
      <c r="E13" s="135" t="s">
        <v>598</v>
      </c>
      <c r="F13" s="136"/>
      <c r="G13" s="92" t="s">
        <v>599</v>
      </c>
      <c r="H13" s="135" t="s">
        <v>616</v>
      </c>
      <c r="I13" s="136"/>
      <c r="J13" s="6"/>
    </row>
    <row r="14" spans="1:10" ht="15" customHeight="1">
      <c r="A14" s="93" t="s">
        <v>576</v>
      </c>
      <c r="B14" s="97" t="s">
        <v>587</v>
      </c>
      <c r="C14" s="101">
        <f>SUM('Stavební rozpočet'!AB12:AB248)</f>
        <v>0</v>
      </c>
      <c r="D14" s="131" t="s">
        <v>590</v>
      </c>
      <c r="E14" s="132"/>
      <c r="F14" s="101">
        <f>VORN!I15</f>
        <v>0</v>
      </c>
      <c r="G14" s="131" t="s">
        <v>600</v>
      </c>
      <c r="H14" s="132"/>
      <c r="I14" s="101">
        <f>VORN!I21</f>
        <v>0</v>
      </c>
      <c r="J14" s="6"/>
    </row>
    <row r="15" spans="1:10" ht="15" customHeight="1">
      <c r="A15" s="94"/>
      <c r="B15" s="97" t="s">
        <v>478</v>
      </c>
      <c r="C15" s="101">
        <f>SUM('Stavební rozpočet'!AC12:AC248)</f>
        <v>0</v>
      </c>
      <c r="D15" s="131" t="s">
        <v>591</v>
      </c>
      <c r="E15" s="132"/>
      <c r="F15" s="101">
        <f>VORN!I16</f>
        <v>0</v>
      </c>
      <c r="G15" s="131" t="s">
        <v>601</v>
      </c>
      <c r="H15" s="132"/>
      <c r="I15" s="101">
        <f>VORN!I22</f>
        <v>0</v>
      </c>
      <c r="J15" s="6"/>
    </row>
    <row r="16" spans="1:10" ht="15" customHeight="1">
      <c r="A16" s="93" t="s">
        <v>577</v>
      </c>
      <c r="B16" s="97" t="s">
        <v>587</v>
      </c>
      <c r="C16" s="101">
        <f>SUM('Stavební rozpočet'!AD12:AD248)</f>
        <v>0</v>
      </c>
      <c r="D16" s="131" t="s">
        <v>592</v>
      </c>
      <c r="E16" s="132"/>
      <c r="F16" s="101">
        <f>VORN!I17</f>
        <v>0</v>
      </c>
      <c r="G16" s="131" t="s">
        <v>602</v>
      </c>
      <c r="H16" s="132"/>
      <c r="I16" s="101">
        <f>VORN!I23</f>
        <v>0</v>
      </c>
      <c r="J16" s="6"/>
    </row>
    <row r="17" spans="1:10" ht="15" customHeight="1">
      <c r="A17" s="94"/>
      <c r="B17" s="97" t="s">
        <v>478</v>
      </c>
      <c r="C17" s="101">
        <f>SUM('Stavební rozpočet'!AE12:AE248)</f>
        <v>0</v>
      </c>
      <c r="D17" s="131"/>
      <c r="E17" s="132"/>
      <c r="F17" s="102"/>
      <c r="G17" s="131" t="s">
        <v>603</v>
      </c>
      <c r="H17" s="132"/>
      <c r="I17" s="101">
        <f>VORN!I24</f>
        <v>0</v>
      </c>
      <c r="J17" s="6"/>
    </row>
    <row r="18" spans="1:10" ht="15" customHeight="1">
      <c r="A18" s="93" t="s">
        <v>578</v>
      </c>
      <c r="B18" s="97" t="s">
        <v>587</v>
      </c>
      <c r="C18" s="101">
        <f>SUM('Stavební rozpočet'!AF12:AF248)</f>
        <v>0</v>
      </c>
      <c r="D18" s="131"/>
      <c r="E18" s="132"/>
      <c r="F18" s="102"/>
      <c r="G18" s="131" t="s">
        <v>604</v>
      </c>
      <c r="H18" s="132"/>
      <c r="I18" s="101">
        <f>VORN!I25</f>
        <v>0</v>
      </c>
      <c r="J18" s="6"/>
    </row>
    <row r="19" spans="1:10" ht="15" customHeight="1">
      <c r="A19" s="94"/>
      <c r="B19" s="97" t="s">
        <v>478</v>
      </c>
      <c r="C19" s="101">
        <f>SUM('Stavební rozpočet'!AG12:AG248)</f>
        <v>0</v>
      </c>
      <c r="D19" s="131"/>
      <c r="E19" s="132"/>
      <c r="F19" s="102"/>
      <c r="G19" s="131" t="s">
        <v>605</v>
      </c>
      <c r="H19" s="132"/>
      <c r="I19" s="101">
        <f>VORN!I26</f>
        <v>0</v>
      </c>
      <c r="J19" s="6"/>
    </row>
    <row r="20" spans="1:10" ht="15" customHeight="1">
      <c r="A20" s="129" t="s">
        <v>446</v>
      </c>
      <c r="B20" s="130"/>
      <c r="C20" s="101">
        <f>SUM('Stavební rozpočet'!AH12:AH248)</f>
        <v>0</v>
      </c>
      <c r="D20" s="131"/>
      <c r="E20" s="132"/>
      <c r="F20" s="102"/>
      <c r="G20" s="131"/>
      <c r="H20" s="132"/>
      <c r="I20" s="102"/>
      <c r="J20" s="6"/>
    </row>
    <row r="21" spans="1:10" ht="15" customHeight="1">
      <c r="A21" s="129" t="s">
        <v>579</v>
      </c>
      <c r="B21" s="130"/>
      <c r="C21" s="101">
        <f>SUM('Stavební rozpočet'!Z12:Z248)</f>
        <v>0</v>
      </c>
      <c r="D21" s="131"/>
      <c r="E21" s="132"/>
      <c r="F21" s="102"/>
      <c r="G21" s="131"/>
      <c r="H21" s="132"/>
      <c r="I21" s="102"/>
      <c r="J21" s="6"/>
    </row>
    <row r="22" spans="1:10" ht="16.5" customHeight="1">
      <c r="A22" s="129" t="s">
        <v>580</v>
      </c>
      <c r="B22" s="130"/>
      <c r="C22" s="101">
        <f>SUM(C14:C21)</f>
        <v>0</v>
      </c>
      <c r="D22" s="129" t="s">
        <v>593</v>
      </c>
      <c r="E22" s="130"/>
      <c r="F22" s="101">
        <f>SUM(F14:F21)</f>
        <v>0</v>
      </c>
      <c r="G22" s="129" t="s">
        <v>606</v>
      </c>
      <c r="H22" s="130"/>
      <c r="I22" s="101">
        <f>SUM(I14:I21)</f>
        <v>0</v>
      </c>
      <c r="J22" s="6"/>
    </row>
    <row r="23" spans="1:10" ht="15" customHeight="1">
      <c r="A23" s="10"/>
      <c r="B23" s="10"/>
      <c r="C23" s="99"/>
      <c r="D23" s="129" t="s">
        <v>594</v>
      </c>
      <c r="E23" s="130"/>
      <c r="F23" s="103">
        <v>0</v>
      </c>
      <c r="G23" s="129" t="s">
        <v>607</v>
      </c>
      <c r="H23" s="130"/>
      <c r="I23" s="101">
        <v>0</v>
      </c>
      <c r="J23" s="6"/>
    </row>
    <row r="24" spans="4:10" ht="15" customHeight="1">
      <c r="D24" s="10"/>
      <c r="E24" s="10"/>
      <c r="F24" s="104"/>
      <c r="G24" s="129" t="s">
        <v>608</v>
      </c>
      <c r="H24" s="130"/>
      <c r="I24" s="101">
        <f>vorn_sum</f>
        <v>0</v>
      </c>
      <c r="J24" s="6"/>
    </row>
    <row r="25" spans="6:10" ht="15" customHeight="1">
      <c r="F25" s="47"/>
      <c r="G25" s="129" t="s">
        <v>609</v>
      </c>
      <c r="H25" s="130"/>
      <c r="I25" s="101">
        <v>0</v>
      </c>
      <c r="J25" s="6"/>
    </row>
    <row r="26" spans="1:9" ht="12.75">
      <c r="A26" s="91"/>
      <c r="B26" s="91"/>
      <c r="C26" s="91"/>
      <c r="G26" s="10"/>
      <c r="H26" s="10"/>
      <c r="I26" s="10"/>
    </row>
    <row r="27" spans="1:9" ht="15" customHeight="1">
      <c r="A27" s="124" t="s">
        <v>581</v>
      </c>
      <c r="B27" s="125"/>
      <c r="C27" s="105">
        <f>SUM('Stavební rozpočet'!AJ12:AJ248)</f>
        <v>0</v>
      </c>
      <c r="D27" s="100"/>
      <c r="E27" s="91"/>
      <c r="F27" s="91"/>
      <c r="G27" s="91"/>
      <c r="H27" s="91"/>
      <c r="I27" s="91"/>
    </row>
    <row r="28" spans="1:10" ht="15" customHeight="1">
      <c r="A28" s="124" t="s">
        <v>582</v>
      </c>
      <c r="B28" s="125"/>
      <c r="C28" s="105">
        <f>SUM('Stavební rozpočet'!AK12:AK248)</f>
        <v>0</v>
      </c>
      <c r="D28" s="124" t="s">
        <v>595</v>
      </c>
      <c r="E28" s="125"/>
      <c r="F28" s="105">
        <f>ROUND(C28*(15/100),2)</f>
        <v>0</v>
      </c>
      <c r="G28" s="124" t="s">
        <v>610</v>
      </c>
      <c r="H28" s="125"/>
      <c r="I28" s="105">
        <f>SUM(C27:C29)</f>
        <v>0</v>
      </c>
      <c r="J28" s="6"/>
    </row>
    <row r="29" spans="1:10" ht="15" customHeight="1">
      <c r="A29" s="124" t="s">
        <v>583</v>
      </c>
      <c r="B29" s="125"/>
      <c r="C29" s="105">
        <f>SUM('Stavební rozpočet'!AL12:AL248)+(F22+I22+F23+I23+I24+I25)</f>
        <v>0</v>
      </c>
      <c r="D29" s="124" t="s">
        <v>596</v>
      </c>
      <c r="E29" s="125"/>
      <c r="F29" s="105">
        <f>ROUND(C29*(21/100),2)</f>
        <v>0</v>
      </c>
      <c r="G29" s="124" t="s">
        <v>611</v>
      </c>
      <c r="H29" s="125"/>
      <c r="I29" s="105">
        <f>SUM(F28:F29)+I28</f>
        <v>0</v>
      </c>
      <c r="J29" s="6"/>
    </row>
    <row r="30" spans="1:9" ht="12.75">
      <c r="A30" s="95"/>
      <c r="B30" s="95"/>
      <c r="C30" s="95"/>
      <c r="D30" s="95"/>
      <c r="E30" s="95"/>
      <c r="F30" s="95"/>
      <c r="G30" s="95"/>
      <c r="H30" s="95"/>
      <c r="I30" s="95"/>
    </row>
    <row r="31" spans="1:10" ht="14.25" customHeight="1">
      <c r="A31" s="126" t="s">
        <v>584</v>
      </c>
      <c r="B31" s="127"/>
      <c r="C31" s="128"/>
      <c r="D31" s="126" t="s">
        <v>597</v>
      </c>
      <c r="E31" s="127"/>
      <c r="F31" s="128"/>
      <c r="G31" s="126" t="s">
        <v>612</v>
      </c>
      <c r="H31" s="127"/>
      <c r="I31" s="128"/>
      <c r="J31" s="50"/>
    </row>
    <row r="32" spans="1:10" ht="14.25" customHeight="1">
      <c r="A32" s="118"/>
      <c r="B32" s="119"/>
      <c r="C32" s="120"/>
      <c r="D32" s="118"/>
      <c r="E32" s="119"/>
      <c r="F32" s="120"/>
      <c r="G32" s="118"/>
      <c r="H32" s="119"/>
      <c r="I32" s="120"/>
      <c r="J32" s="50"/>
    </row>
    <row r="33" spans="1:10" ht="14.25" customHeight="1">
      <c r="A33" s="118"/>
      <c r="B33" s="119"/>
      <c r="C33" s="120"/>
      <c r="D33" s="118"/>
      <c r="E33" s="119"/>
      <c r="F33" s="120"/>
      <c r="G33" s="118"/>
      <c r="H33" s="119"/>
      <c r="I33" s="120"/>
      <c r="J33" s="50"/>
    </row>
    <row r="34" spans="1:10" ht="14.25" customHeight="1">
      <c r="A34" s="118"/>
      <c r="B34" s="119"/>
      <c r="C34" s="120"/>
      <c r="D34" s="118"/>
      <c r="E34" s="119"/>
      <c r="F34" s="120"/>
      <c r="G34" s="118"/>
      <c r="H34" s="119"/>
      <c r="I34" s="120"/>
      <c r="J34" s="50"/>
    </row>
    <row r="35" spans="1:10" ht="14.25" customHeight="1">
      <c r="A35" s="121" t="s">
        <v>585</v>
      </c>
      <c r="B35" s="122"/>
      <c r="C35" s="123"/>
      <c r="D35" s="121" t="s">
        <v>585</v>
      </c>
      <c r="E35" s="122"/>
      <c r="F35" s="123"/>
      <c r="G35" s="121" t="s">
        <v>585</v>
      </c>
      <c r="H35" s="122"/>
      <c r="I35" s="123"/>
      <c r="J35" s="50"/>
    </row>
    <row r="36" spans="1:9" ht="11.25" customHeight="1">
      <c r="A36" s="96" t="s">
        <v>129</v>
      </c>
      <c r="B36" s="98"/>
      <c r="C36" s="98"/>
      <c r="D36" s="98"/>
      <c r="E36" s="98"/>
      <c r="F36" s="98"/>
      <c r="G36" s="98"/>
      <c r="H36" s="98"/>
      <c r="I36" s="98"/>
    </row>
    <row r="37" spans="1:9" ht="12.75">
      <c r="A37" s="116"/>
      <c r="B37" s="117"/>
      <c r="C37" s="117"/>
      <c r="D37" s="117"/>
      <c r="E37" s="117"/>
      <c r="F37" s="117"/>
      <c r="G37" s="117"/>
      <c r="H37" s="117"/>
      <c r="I37" s="117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pane ySplit="10" topLeftCell="A47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140625" style="0" customWidth="1"/>
    <col min="8" max="9" width="0" style="0" hidden="1" customWidth="1"/>
  </cols>
  <sheetData>
    <row r="1" spans="1:7" ht="72.75" customHeight="1">
      <c r="A1" s="158" t="s">
        <v>564</v>
      </c>
      <c r="B1" s="147"/>
      <c r="C1" s="147"/>
      <c r="D1" s="147"/>
      <c r="E1" s="147"/>
      <c r="F1" s="147"/>
      <c r="G1" s="147"/>
    </row>
    <row r="2" spans="1:8" ht="12.75">
      <c r="A2" s="148" t="s">
        <v>1</v>
      </c>
      <c r="B2" s="149"/>
      <c r="C2" s="150" t="str">
        <f>'Stavební rozpočet'!D2</f>
        <v>Zařízení pro sběr a výkup odpadů</v>
      </c>
      <c r="D2" s="159" t="s">
        <v>453</v>
      </c>
      <c r="E2" s="159" t="s">
        <v>6</v>
      </c>
      <c r="F2" s="153" t="s">
        <v>470</v>
      </c>
      <c r="G2" s="160" t="str">
        <f>'Stavební rozpočet'!J2</f>
        <v> </v>
      </c>
      <c r="H2" s="6"/>
    </row>
    <row r="3" spans="1:8" ht="12.75">
      <c r="A3" s="143"/>
      <c r="B3" s="117"/>
      <c r="C3" s="152"/>
      <c r="D3" s="117"/>
      <c r="E3" s="117"/>
      <c r="F3" s="117"/>
      <c r="G3" s="145"/>
      <c r="H3" s="6"/>
    </row>
    <row r="4" spans="1:8" ht="12.75">
      <c r="A4" s="137" t="s">
        <v>2</v>
      </c>
      <c r="B4" s="117"/>
      <c r="C4" s="116" t="str">
        <f>'Stavební rozpočet'!D4</f>
        <v> </v>
      </c>
      <c r="D4" s="140" t="s">
        <v>454</v>
      </c>
      <c r="E4" s="140" t="s">
        <v>6</v>
      </c>
      <c r="F4" s="116" t="s">
        <v>471</v>
      </c>
      <c r="G4" s="141" t="str">
        <f>'Stavební rozpočet'!J4</f>
        <v> </v>
      </c>
      <c r="H4" s="6"/>
    </row>
    <row r="5" spans="1:8" ht="12.75">
      <c r="A5" s="143"/>
      <c r="B5" s="117"/>
      <c r="C5" s="117"/>
      <c r="D5" s="117"/>
      <c r="E5" s="117"/>
      <c r="F5" s="117"/>
      <c r="G5" s="145"/>
      <c r="H5" s="6"/>
    </row>
    <row r="6" spans="1:8" ht="12.75">
      <c r="A6" s="137" t="s">
        <v>3</v>
      </c>
      <c r="B6" s="117"/>
      <c r="C6" s="116" t="str">
        <f>'Stavební rozpočet'!D6</f>
        <v>Střítež u Kaplice</v>
      </c>
      <c r="D6" s="140" t="s">
        <v>455</v>
      </c>
      <c r="E6" s="140" t="s">
        <v>6</v>
      </c>
      <c r="F6" s="116" t="s">
        <v>472</v>
      </c>
      <c r="G6" s="141" t="str">
        <f>'Stavební rozpočet'!J6</f>
        <v> </v>
      </c>
      <c r="H6" s="6"/>
    </row>
    <row r="7" spans="1:8" ht="12.75">
      <c r="A7" s="143"/>
      <c r="B7" s="117"/>
      <c r="C7" s="117"/>
      <c r="D7" s="117"/>
      <c r="E7" s="117"/>
      <c r="F7" s="117"/>
      <c r="G7" s="145"/>
      <c r="H7" s="6"/>
    </row>
    <row r="8" spans="1:8" ht="12.75">
      <c r="A8" s="137" t="s">
        <v>473</v>
      </c>
      <c r="B8" s="117"/>
      <c r="C8" s="116" t="str">
        <f>'Stavební rozpočet'!J8</f>
        <v> </v>
      </c>
      <c r="D8" s="140" t="s">
        <v>456</v>
      </c>
      <c r="E8" s="140" t="s">
        <v>467</v>
      </c>
      <c r="F8" s="140" t="s">
        <v>456</v>
      </c>
      <c r="G8" s="141" t="str">
        <f>'Stavební rozpočet'!H8</f>
        <v>28.06.2022</v>
      </c>
      <c r="H8" s="6"/>
    </row>
    <row r="9" spans="1:8" ht="12.75">
      <c r="A9" s="155"/>
      <c r="B9" s="156"/>
      <c r="C9" s="156"/>
      <c r="D9" s="156"/>
      <c r="E9" s="156"/>
      <c r="F9" s="156"/>
      <c r="G9" s="157"/>
      <c r="H9" s="6"/>
    </row>
    <row r="10" spans="1:8" ht="12.75">
      <c r="A10" s="60" t="s">
        <v>130</v>
      </c>
      <c r="B10" s="64" t="s">
        <v>138</v>
      </c>
      <c r="C10" s="67" t="s">
        <v>565</v>
      </c>
      <c r="D10" s="68" t="s">
        <v>566</v>
      </c>
      <c r="E10" s="68" t="s">
        <v>567</v>
      </c>
      <c r="F10" s="68" t="s">
        <v>568</v>
      </c>
      <c r="G10" s="69" t="s">
        <v>569</v>
      </c>
      <c r="H10" s="50"/>
    </row>
    <row r="11" spans="1:9" ht="12.75">
      <c r="A11" s="61" t="s">
        <v>131</v>
      </c>
      <c r="B11" s="65"/>
      <c r="C11" s="65" t="s">
        <v>256</v>
      </c>
      <c r="D11" s="71">
        <f>'Stavební rozpočet'!I12</f>
        <v>0</v>
      </c>
      <c r="E11" s="71">
        <f>'Stavební rozpočet'!J12</f>
        <v>0</v>
      </c>
      <c r="F11" s="71">
        <f>'Stavební rozpočet'!K12</f>
        <v>0</v>
      </c>
      <c r="G11" s="73">
        <f>'Stavební rozpočet'!M12</f>
        <v>0.38432</v>
      </c>
      <c r="H11" s="70" t="s">
        <v>570</v>
      </c>
      <c r="I11" s="51">
        <f aca="true" t="shared" si="0" ref="I11:I42">IF(H11="F",0,F11)</f>
        <v>0</v>
      </c>
    </row>
    <row r="12" spans="1:9" ht="12.75">
      <c r="A12" s="62" t="s">
        <v>131</v>
      </c>
      <c r="B12" s="23" t="s">
        <v>33</v>
      </c>
      <c r="C12" s="23" t="s">
        <v>257</v>
      </c>
      <c r="D12" s="51">
        <f>'Stavební rozpočet'!I13</f>
        <v>0</v>
      </c>
      <c r="E12" s="51">
        <f>'Stavební rozpočet'!J13</f>
        <v>0</v>
      </c>
      <c r="F12" s="51">
        <f>'Stavební rozpočet'!K13</f>
        <v>0</v>
      </c>
      <c r="G12" s="74">
        <f>'Stavební rozpočet'!M13</f>
        <v>0.38416</v>
      </c>
      <c r="H12" s="70" t="s">
        <v>571</v>
      </c>
      <c r="I12" s="51">
        <f t="shared" si="0"/>
        <v>0</v>
      </c>
    </row>
    <row r="13" spans="1:9" ht="12.75">
      <c r="A13" s="62" t="s">
        <v>131</v>
      </c>
      <c r="B13" s="23" t="s">
        <v>93</v>
      </c>
      <c r="C13" s="23" t="s">
        <v>259</v>
      </c>
      <c r="D13" s="51">
        <f>'Stavební rozpočet'!I15</f>
        <v>0</v>
      </c>
      <c r="E13" s="51">
        <f>'Stavební rozpočet'!J15</f>
        <v>0</v>
      </c>
      <c r="F13" s="51">
        <f>'Stavební rozpočet'!K15</f>
        <v>0</v>
      </c>
      <c r="G13" s="74">
        <f>'Stavební rozpočet'!M15</f>
        <v>0.00016</v>
      </c>
      <c r="H13" s="70" t="s">
        <v>571</v>
      </c>
      <c r="I13" s="51">
        <f t="shared" si="0"/>
        <v>0</v>
      </c>
    </row>
    <row r="14" spans="1:9" ht="12.75">
      <c r="A14" s="62" t="s">
        <v>131</v>
      </c>
      <c r="B14" s="23" t="s">
        <v>143</v>
      </c>
      <c r="C14" s="23" t="s">
        <v>263</v>
      </c>
      <c r="D14" s="51">
        <f>'Stavební rozpočet'!I19</f>
        <v>0</v>
      </c>
      <c r="E14" s="51">
        <f>'Stavební rozpočet'!J19</f>
        <v>0</v>
      </c>
      <c r="F14" s="51">
        <f>'Stavební rozpočet'!K19</f>
        <v>0</v>
      </c>
      <c r="G14" s="74">
        <f>'Stavební rozpočet'!M19</f>
        <v>0</v>
      </c>
      <c r="H14" s="70" t="s">
        <v>571</v>
      </c>
      <c r="I14" s="51">
        <f t="shared" si="0"/>
        <v>0</v>
      </c>
    </row>
    <row r="15" spans="1:9" ht="12.75">
      <c r="A15" s="62" t="s">
        <v>132</v>
      </c>
      <c r="B15" s="23"/>
      <c r="C15" s="23" t="s">
        <v>265</v>
      </c>
      <c r="D15" s="51">
        <f>'Stavební rozpočet'!I21</f>
        <v>0</v>
      </c>
      <c r="E15" s="51">
        <f>'Stavební rozpočet'!J21</f>
        <v>0</v>
      </c>
      <c r="F15" s="51">
        <f>'Stavební rozpočet'!K21</f>
        <v>0</v>
      </c>
      <c r="G15" s="74">
        <f>'Stavební rozpočet'!M21</f>
        <v>5955.823990000002</v>
      </c>
      <c r="H15" s="70" t="s">
        <v>570</v>
      </c>
      <c r="I15" s="51">
        <f t="shared" si="0"/>
        <v>0</v>
      </c>
    </row>
    <row r="16" spans="1:9" ht="12.75">
      <c r="A16" s="62" t="s">
        <v>132</v>
      </c>
      <c r="B16" s="23" t="s">
        <v>18</v>
      </c>
      <c r="C16" s="23" t="s">
        <v>266</v>
      </c>
      <c r="D16" s="51">
        <f>'Stavební rozpočet'!I22</f>
        <v>0</v>
      </c>
      <c r="E16" s="51">
        <f>'Stavební rozpočet'!J22</f>
        <v>0</v>
      </c>
      <c r="F16" s="51">
        <f>'Stavební rozpočet'!K22</f>
        <v>0</v>
      </c>
      <c r="G16" s="74">
        <f>'Stavební rozpočet'!M22</f>
        <v>0</v>
      </c>
      <c r="H16" s="70" t="s">
        <v>571</v>
      </c>
      <c r="I16" s="51">
        <f t="shared" si="0"/>
        <v>0</v>
      </c>
    </row>
    <row r="17" spans="1:9" ht="12.75">
      <c r="A17" s="62" t="s">
        <v>132</v>
      </c>
      <c r="B17" s="23" t="s">
        <v>22</v>
      </c>
      <c r="C17" s="23" t="s">
        <v>272</v>
      </c>
      <c r="D17" s="51">
        <f>'Stavební rozpočet'!I28</f>
        <v>0</v>
      </c>
      <c r="E17" s="51">
        <f>'Stavební rozpočet'!J28</f>
        <v>0</v>
      </c>
      <c r="F17" s="51">
        <f>'Stavební rozpočet'!K28</f>
        <v>0</v>
      </c>
      <c r="G17" s="74">
        <f>'Stavební rozpočet'!M28</f>
        <v>0</v>
      </c>
      <c r="H17" s="70" t="s">
        <v>571</v>
      </c>
      <c r="I17" s="51">
        <f t="shared" si="0"/>
        <v>0</v>
      </c>
    </row>
    <row r="18" spans="1:9" ht="12.75">
      <c r="A18" s="62" t="s">
        <v>132</v>
      </c>
      <c r="B18" s="23" t="s">
        <v>23</v>
      </c>
      <c r="C18" s="23" t="s">
        <v>278</v>
      </c>
      <c r="D18" s="51">
        <f>'Stavební rozpočet'!I34</f>
        <v>0</v>
      </c>
      <c r="E18" s="51">
        <f>'Stavební rozpočet'!J34</f>
        <v>0</v>
      </c>
      <c r="F18" s="51">
        <f>'Stavební rozpočet'!K34</f>
        <v>0</v>
      </c>
      <c r="G18" s="74">
        <f>'Stavební rozpočet'!M34</f>
        <v>0</v>
      </c>
      <c r="H18" s="70" t="s">
        <v>571</v>
      </c>
      <c r="I18" s="51">
        <f t="shared" si="0"/>
        <v>0</v>
      </c>
    </row>
    <row r="19" spans="1:9" ht="12.75">
      <c r="A19" s="62" t="s">
        <v>132</v>
      </c>
      <c r="B19" s="23" t="s">
        <v>24</v>
      </c>
      <c r="C19" s="23" t="s">
        <v>280</v>
      </c>
      <c r="D19" s="51">
        <f>'Stavební rozpočet'!I36</f>
        <v>0</v>
      </c>
      <c r="E19" s="51">
        <f>'Stavební rozpočet'!J36</f>
        <v>0</v>
      </c>
      <c r="F19" s="51">
        <f>'Stavební rozpočet'!K36</f>
        <v>0</v>
      </c>
      <c r="G19" s="74">
        <f>'Stavební rozpočet'!M36</f>
        <v>0</v>
      </c>
      <c r="H19" s="70" t="s">
        <v>571</v>
      </c>
      <c r="I19" s="51">
        <f t="shared" si="0"/>
        <v>0</v>
      </c>
    </row>
    <row r="20" spans="1:9" ht="12.75">
      <c r="A20" s="62" t="s">
        <v>132</v>
      </c>
      <c r="B20" s="23" t="s">
        <v>27</v>
      </c>
      <c r="C20" s="23" t="s">
        <v>284</v>
      </c>
      <c r="D20" s="51">
        <f>'Stavební rozpočet'!I40</f>
        <v>0</v>
      </c>
      <c r="E20" s="51">
        <f>'Stavební rozpočet'!J40</f>
        <v>0</v>
      </c>
      <c r="F20" s="51">
        <f>'Stavební rozpočet'!K40</f>
        <v>0</v>
      </c>
      <c r="G20" s="74">
        <f>'Stavební rozpočet'!M40</f>
        <v>36.7074</v>
      </c>
      <c r="H20" s="70" t="s">
        <v>571</v>
      </c>
      <c r="I20" s="51">
        <f t="shared" si="0"/>
        <v>0</v>
      </c>
    </row>
    <row r="21" spans="1:9" ht="12.75">
      <c r="A21" s="62" t="s">
        <v>132</v>
      </c>
      <c r="B21" s="23" t="s">
        <v>62</v>
      </c>
      <c r="C21" s="23" t="s">
        <v>288</v>
      </c>
      <c r="D21" s="51">
        <f>'Stavební rozpočet'!I45</f>
        <v>0</v>
      </c>
      <c r="E21" s="51">
        <f>'Stavební rozpočet'!J45</f>
        <v>0</v>
      </c>
      <c r="F21" s="51">
        <f>'Stavební rozpočet'!K45</f>
        <v>0</v>
      </c>
      <c r="G21" s="74">
        <f>'Stavební rozpočet'!M45</f>
        <v>5285.02</v>
      </c>
      <c r="H21" s="70" t="s">
        <v>571</v>
      </c>
      <c r="I21" s="51">
        <f t="shared" si="0"/>
        <v>0</v>
      </c>
    </row>
    <row r="22" spans="1:9" ht="12.75">
      <c r="A22" s="62" t="s">
        <v>132</v>
      </c>
      <c r="B22" s="23" t="s">
        <v>63</v>
      </c>
      <c r="C22" s="23" t="s">
        <v>295</v>
      </c>
      <c r="D22" s="51">
        <f>'Stavební rozpočet'!I52</f>
        <v>0</v>
      </c>
      <c r="E22" s="51">
        <f>'Stavební rozpočet'!J52</f>
        <v>0</v>
      </c>
      <c r="F22" s="51">
        <f>'Stavební rozpočet'!K52</f>
        <v>0</v>
      </c>
      <c r="G22" s="74">
        <f>'Stavební rozpočet'!M52</f>
        <v>551.6</v>
      </c>
      <c r="H22" s="70" t="s">
        <v>571</v>
      </c>
      <c r="I22" s="51">
        <f t="shared" si="0"/>
        <v>0</v>
      </c>
    </row>
    <row r="23" spans="1:9" ht="12.75">
      <c r="A23" s="62" t="s">
        <v>132</v>
      </c>
      <c r="B23" s="23" t="s">
        <v>93</v>
      </c>
      <c r="C23" s="23" t="s">
        <v>259</v>
      </c>
      <c r="D23" s="51">
        <f>'Stavební rozpočet'!I57</f>
        <v>0</v>
      </c>
      <c r="E23" s="51">
        <f>'Stavební rozpočet'!J57</f>
        <v>0</v>
      </c>
      <c r="F23" s="51">
        <f>'Stavební rozpočet'!K57</f>
        <v>0</v>
      </c>
      <c r="G23" s="74">
        <f>'Stavební rozpočet'!M57</f>
        <v>0.07200000000000001</v>
      </c>
      <c r="H23" s="70" t="s">
        <v>571</v>
      </c>
      <c r="I23" s="51">
        <f t="shared" si="0"/>
        <v>0</v>
      </c>
    </row>
    <row r="24" spans="1:9" ht="12.75">
      <c r="A24" s="62" t="s">
        <v>132</v>
      </c>
      <c r="B24" s="23" t="s">
        <v>97</v>
      </c>
      <c r="C24" s="23" t="s">
        <v>302</v>
      </c>
      <c r="D24" s="51">
        <f>'Stavební rozpočet'!I60</f>
        <v>0</v>
      </c>
      <c r="E24" s="51">
        <f>'Stavební rozpočet'!J60</f>
        <v>0</v>
      </c>
      <c r="F24" s="51">
        <f>'Stavební rozpočet'!K60</f>
        <v>0</v>
      </c>
      <c r="G24" s="74">
        <f>'Stavební rozpočet'!M60</f>
        <v>74.19775</v>
      </c>
      <c r="H24" s="70" t="s">
        <v>571</v>
      </c>
      <c r="I24" s="51">
        <f t="shared" si="0"/>
        <v>0</v>
      </c>
    </row>
    <row r="25" spans="1:9" ht="12.75">
      <c r="A25" s="62" t="s">
        <v>132</v>
      </c>
      <c r="B25" s="23" t="s">
        <v>99</v>
      </c>
      <c r="C25" s="23" t="s">
        <v>305</v>
      </c>
      <c r="D25" s="51">
        <f>'Stavební rozpočet'!I63</f>
        <v>0</v>
      </c>
      <c r="E25" s="51">
        <f>'Stavební rozpočet'!J63</f>
        <v>0</v>
      </c>
      <c r="F25" s="51">
        <f>'Stavební rozpočet'!K63</f>
        <v>0</v>
      </c>
      <c r="G25" s="74">
        <f>'Stavební rozpočet'!M63</f>
        <v>8.22684</v>
      </c>
      <c r="H25" s="70" t="s">
        <v>571</v>
      </c>
      <c r="I25" s="51">
        <f t="shared" si="0"/>
        <v>0</v>
      </c>
    </row>
    <row r="26" spans="1:9" ht="12.75">
      <c r="A26" s="62" t="s">
        <v>132</v>
      </c>
      <c r="B26" s="23" t="s">
        <v>166</v>
      </c>
      <c r="C26" s="23" t="s">
        <v>307</v>
      </c>
      <c r="D26" s="51">
        <f>'Stavební rozpočet'!I65</f>
        <v>0</v>
      </c>
      <c r="E26" s="51">
        <f>'Stavební rozpočet'!J65</f>
        <v>0</v>
      </c>
      <c r="F26" s="51">
        <f>'Stavební rozpočet'!K65</f>
        <v>0</v>
      </c>
      <c r="G26" s="74">
        <f>'Stavební rozpočet'!M65</f>
        <v>0</v>
      </c>
      <c r="H26" s="70" t="s">
        <v>571</v>
      </c>
      <c r="I26" s="51">
        <f t="shared" si="0"/>
        <v>0</v>
      </c>
    </row>
    <row r="27" spans="1:9" ht="12.75">
      <c r="A27" s="62" t="s">
        <v>133</v>
      </c>
      <c r="B27" s="23"/>
      <c r="C27" s="23" t="s">
        <v>309</v>
      </c>
      <c r="D27" s="51">
        <f>'Stavební rozpočet'!I67</f>
        <v>0</v>
      </c>
      <c r="E27" s="51">
        <f>'Stavební rozpočet'!J67</f>
        <v>0</v>
      </c>
      <c r="F27" s="51">
        <f>'Stavební rozpočet'!K67</f>
        <v>0</v>
      </c>
      <c r="G27" s="74">
        <f>'Stavební rozpočet'!M67</f>
        <v>0.45833999999999997</v>
      </c>
      <c r="H27" s="70" t="s">
        <v>570</v>
      </c>
      <c r="I27" s="51">
        <f t="shared" si="0"/>
        <v>0</v>
      </c>
    </row>
    <row r="28" spans="1:9" ht="12.75">
      <c r="A28" s="62" t="s">
        <v>133</v>
      </c>
      <c r="B28" s="23" t="s">
        <v>19</v>
      </c>
      <c r="C28" s="23" t="s">
        <v>310</v>
      </c>
      <c r="D28" s="51">
        <f>'Stavební rozpočet'!I68</f>
        <v>0</v>
      </c>
      <c r="E28" s="51">
        <f>'Stavební rozpočet'!J68</f>
        <v>0</v>
      </c>
      <c r="F28" s="51">
        <f>'Stavební rozpočet'!K68</f>
        <v>0</v>
      </c>
      <c r="G28" s="74">
        <f>'Stavební rozpočet'!M68</f>
        <v>0</v>
      </c>
      <c r="H28" s="70" t="s">
        <v>571</v>
      </c>
      <c r="I28" s="51">
        <f t="shared" si="0"/>
        <v>0</v>
      </c>
    </row>
    <row r="29" spans="1:9" ht="12.75">
      <c r="A29" s="62" t="s">
        <v>133</v>
      </c>
      <c r="B29" s="23" t="s">
        <v>39</v>
      </c>
      <c r="C29" s="23" t="s">
        <v>312</v>
      </c>
      <c r="D29" s="51">
        <f>'Stavební rozpočet'!I70</f>
        <v>0</v>
      </c>
      <c r="E29" s="51">
        <f>'Stavební rozpočet'!J70</f>
        <v>0</v>
      </c>
      <c r="F29" s="51">
        <f>'Stavební rozpočet'!K70</f>
        <v>0</v>
      </c>
      <c r="G29" s="74">
        <f>'Stavební rozpočet'!M70</f>
        <v>0.28834</v>
      </c>
      <c r="H29" s="70" t="s">
        <v>571</v>
      </c>
      <c r="I29" s="51">
        <f t="shared" si="0"/>
        <v>0</v>
      </c>
    </row>
    <row r="30" spans="1:9" ht="12.75">
      <c r="A30" s="62" t="s">
        <v>133</v>
      </c>
      <c r="B30" s="23" t="s">
        <v>172</v>
      </c>
      <c r="C30" s="23" t="s">
        <v>317</v>
      </c>
      <c r="D30" s="51">
        <f>'Stavební rozpočet'!I75</f>
        <v>0</v>
      </c>
      <c r="E30" s="51">
        <f>'Stavební rozpočet'!J75</f>
        <v>0</v>
      </c>
      <c r="F30" s="51">
        <f>'Stavební rozpočet'!K75</f>
        <v>0</v>
      </c>
      <c r="G30" s="74">
        <f>'Stavební rozpočet'!M75</f>
        <v>0.17</v>
      </c>
      <c r="H30" s="70" t="s">
        <v>571</v>
      </c>
      <c r="I30" s="51">
        <f t="shared" si="0"/>
        <v>0</v>
      </c>
    </row>
    <row r="31" spans="1:9" ht="12.75">
      <c r="A31" s="62" t="s">
        <v>134</v>
      </c>
      <c r="B31" s="23"/>
      <c r="C31" s="23" t="s">
        <v>322</v>
      </c>
      <c r="D31" s="51">
        <f>'Stavební rozpočet'!I80</f>
        <v>0</v>
      </c>
      <c r="E31" s="51">
        <f>'Stavební rozpočet'!J80</f>
        <v>0</v>
      </c>
      <c r="F31" s="51">
        <f>'Stavební rozpočet'!K80</f>
        <v>0</v>
      </c>
      <c r="G31" s="74">
        <f>'Stavební rozpočet'!M80</f>
        <v>60.105526000000005</v>
      </c>
      <c r="H31" s="70" t="s">
        <v>570</v>
      </c>
      <c r="I31" s="51">
        <f t="shared" si="0"/>
        <v>0</v>
      </c>
    </row>
    <row r="32" spans="1:9" ht="12.75">
      <c r="A32" s="62" t="s">
        <v>134</v>
      </c>
      <c r="B32" s="23" t="s">
        <v>19</v>
      </c>
      <c r="C32" s="23" t="s">
        <v>310</v>
      </c>
      <c r="D32" s="51">
        <f>'Stavební rozpočet'!I81</f>
        <v>0</v>
      </c>
      <c r="E32" s="51">
        <f>'Stavební rozpočet'!J81</f>
        <v>0</v>
      </c>
      <c r="F32" s="51">
        <f>'Stavební rozpočet'!K81</f>
        <v>0</v>
      </c>
      <c r="G32" s="74">
        <f>'Stavební rozpočet'!M81</f>
        <v>0</v>
      </c>
      <c r="H32" s="70" t="s">
        <v>571</v>
      </c>
      <c r="I32" s="51">
        <f t="shared" si="0"/>
        <v>0</v>
      </c>
    </row>
    <row r="33" spans="1:9" ht="12.75">
      <c r="A33" s="62" t="s">
        <v>134</v>
      </c>
      <c r="B33" s="23" t="s">
        <v>22</v>
      </c>
      <c r="C33" s="23" t="s">
        <v>272</v>
      </c>
      <c r="D33" s="51">
        <f>'Stavební rozpočet'!I86</f>
        <v>0</v>
      </c>
      <c r="E33" s="51">
        <f>'Stavební rozpočet'!J86</f>
        <v>0</v>
      </c>
      <c r="F33" s="51">
        <f>'Stavební rozpočet'!K86</f>
        <v>0</v>
      </c>
      <c r="G33" s="74">
        <f>'Stavební rozpočet'!M86</f>
        <v>0</v>
      </c>
      <c r="H33" s="70" t="s">
        <v>571</v>
      </c>
      <c r="I33" s="51">
        <f t="shared" si="0"/>
        <v>0</v>
      </c>
    </row>
    <row r="34" spans="1:9" ht="12.75">
      <c r="A34" s="62" t="s">
        <v>134</v>
      </c>
      <c r="B34" s="23" t="s">
        <v>23</v>
      </c>
      <c r="C34" s="23" t="s">
        <v>278</v>
      </c>
      <c r="D34" s="51">
        <f>'Stavební rozpočet'!I92</f>
        <v>0</v>
      </c>
      <c r="E34" s="51">
        <f>'Stavební rozpočet'!J92</f>
        <v>0</v>
      </c>
      <c r="F34" s="51">
        <f>'Stavební rozpočet'!K92</f>
        <v>0</v>
      </c>
      <c r="G34" s="74">
        <f>'Stavební rozpočet'!M92</f>
        <v>36.72</v>
      </c>
      <c r="H34" s="70" t="s">
        <v>571</v>
      </c>
      <c r="I34" s="51">
        <f t="shared" si="0"/>
        <v>0</v>
      </c>
    </row>
    <row r="35" spans="1:9" ht="12.75">
      <c r="A35" s="62" t="s">
        <v>134</v>
      </c>
      <c r="B35" s="23" t="s">
        <v>51</v>
      </c>
      <c r="C35" s="23" t="s">
        <v>334</v>
      </c>
      <c r="D35" s="51">
        <f>'Stavební rozpočet'!I98</f>
        <v>0</v>
      </c>
      <c r="E35" s="51">
        <f>'Stavební rozpočet'!J98</f>
        <v>0</v>
      </c>
      <c r="F35" s="51">
        <f>'Stavební rozpočet'!K98</f>
        <v>0</v>
      </c>
      <c r="G35" s="74">
        <f>'Stavební rozpočet'!M98</f>
        <v>20.420316000000003</v>
      </c>
      <c r="H35" s="70" t="s">
        <v>571</v>
      </c>
      <c r="I35" s="51">
        <f t="shared" si="0"/>
        <v>0</v>
      </c>
    </row>
    <row r="36" spans="1:9" ht="12.75">
      <c r="A36" s="62" t="s">
        <v>134</v>
      </c>
      <c r="B36" s="23" t="s">
        <v>181</v>
      </c>
      <c r="C36" s="23" t="s">
        <v>337</v>
      </c>
      <c r="D36" s="51">
        <f>'Stavební rozpočet'!I101</f>
        <v>0</v>
      </c>
      <c r="E36" s="51">
        <f>'Stavební rozpočet'!J101</f>
        <v>0</v>
      </c>
      <c r="F36" s="51">
        <f>'Stavební rozpočet'!K101</f>
        <v>0</v>
      </c>
      <c r="G36" s="74">
        <f>'Stavební rozpočet'!M101</f>
        <v>0.028650000000000002</v>
      </c>
      <c r="H36" s="70" t="s">
        <v>571</v>
      </c>
      <c r="I36" s="51">
        <f t="shared" si="0"/>
        <v>0</v>
      </c>
    </row>
    <row r="37" spans="1:9" ht="12.75">
      <c r="A37" s="62" t="s">
        <v>134</v>
      </c>
      <c r="B37" s="23" t="s">
        <v>91</v>
      </c>
      <c r="C37" s="23" t="s">
        <v>346</v>
      </c>
      <c r="D37" s="51">
        <f>'Stavební rozpočet'!I110</f>
        <v>0</v>
      </c>
      <c r="E37" s="51">
        <f>'Stavební rozpočet'!J110</f>
        <v>0</v>
      </c>
      <c r="F37" s="51">
        <f>'Stavební rozpočet'!K110</f>
        <v>0</v>
      </c>
      <c r="G37" s="74">
        <f>'Stavební rozpočet'!M110</f>
        <v>0.049789999999999994</v>
      </c>
      <c r="H37" s="70" t="s">
        <v>571</v>
      </c>
      <c r="I37" s="51">
        <f t="shared" si="0"/>
        <v>0</v>
      </c>
    </row>
    <row r="38" spans="1:9" ht="12.75">
      <c r="A38" s="62" t="s">
        <v>134</v>
      </c>
      <c r="B38" s="23" t="s">
        <v>93</v>
      </c>
      <c r="C38" s="23" t="s">
        <v>259</v>
      </c>
      <c r="D38" s="51">
        <f>'Stavební rozpočet'!I116</f>
        <v>0</v>
      </c>
      <c r="E38" s="51">
        <f>'Stavební rozpočet'!J116</f>
        <v>0</v>
      </c>
      <c r="F38" s="51">
        <f>'Stavební rozpočet'!K116</f>
        <v>0</v>
      </c>
      <c r="G38" s="74">
        <f>'Stavební rozpočet'!M116</f>
        <v>0.19285999999999998</v>
      </c>
      <c r="H38" s="70" t="s">
        <v>571</v>
      </c>
      <c r="I38" s="51">
        <f t="shared" si="0"/>
        <v>0</v>
      </c>
    </row>
    <row r="39" spans="1:9" ht="12.75">
      <c r="A39" s="62" t="s">
        <v>134</v>
      </c>
      <c r="B39" s="23" t="s">
        <v>95</v>
      </c>
      <c r="C39" s="23" t="s">
        <v>356</v>
      </c>
      <c r="D39" s="51">
        <f>'Stavební rozpočet'!I121</f>
        <v>0</v>
      </c>
      <c r="E39" s="51">
        <f>'Stavební rozpočet'!J121</f>
        <v>0</v>
      </c>
      <c r="F39" s="51">
        <f>'Stavební rozpočet'!K121</f>
        <v>0</v>
      </c>
      <c r="G39" s="74">
        <f>'Stavební rozpočet'!M121</f>
        <v>2.6939100000000002</v>
      </c>
      <c r="H39" s="70" t="s">
        <v>571</v>
      </c>
      <c r="I39" s="51">
        <f t="shared" si="0"/>
        <v>0</v>
      </c>
    </row>
    <row r="40" spans="1:9" ht="12.75">
      <c r="A40" s="62" t="s">
        <v>134</v>
      </c>
      <c r="B40" s="23" t="s">
        <v>216</v>
      </c>
      <c r="C40" s="23" t="s">
        <v>377</v>
      </c>
      <c r="D40" s="51">
        <f>'Stavební rozpočet'!I142</f>
        <v>0</v>
      </c>
      <c r="E40" s="51">
        <f>'Stavební rozpočet'!J142</f>
        <v>0</v>
      </c>
      <c r="F40" s="51">
        <f>'Stavební rozpočet'!K142</f>
        <v>0</v>
      </c>
      <c r="G40" s="74">
        <f>'Stavební rozpočet'!M142</f>
        <v>0</v>
      </c>
      <c r="H40" s="70" t="s">
        <v>571</v>
      </c>
      <c r="I40" s="51">
        <f t="shared" si="0"/>
        <v>0</v>
      </c>
    </row>
    <row r="41" spans="1:9" ht="12.75">
      <c r="A41" s="62" t="s">
        <v>135</v>
      </c>
      <c r="B41" s="23"/>
      <c r="C41" s="23" t="s">
        <v>379</v>
      </c>
      <c r="D41" s="51">
        <f>'Stavební rozpočet'!I144</f>
        <v>0</v>
      </c>
      <c r="E41" s="51">
        <f>'Stavební rozpočet'!J144</f>
        <v>0</v>
      </c>
      <c r="F41" s="51">
        <f>'Stavební rozpočet'!K144</f>
        <v>0</v>
      </c>
      <c r="G41" s="74">
        <f>'Stavební rozpočet'!M144</f>
        <v>17.396919999999998</v>
      </c>
      <c r="H41" s="70" t="s">
        <v>570</v>
      </c>
      <c r="I41" s="51">
        <f t="shared" si="0"/>
        <v>0</v>
      </c>
    </row>
    <row r="42" spans="1:9" ht="12.75">
      <c r="A42" s="62" t="s">
        <v>135</v>
      </c>
      <c r="B42" s="23" t="s">
        <v>19</v>
      </c>
      <c r="C42" s="23" t="s">
        <v>310</v>
      </c>
      <c r="D42" s="51">
        <f>'Stavební rozpočet'!I145</f>
        <v>0</v>
      </c>
      <c r="E42" s="51">
        <f>'Stavební rozpočet'!J145</f>
        <v>0</v>
      </c>
      <c r="F42" s="51">
        <f>'Stavební rozpočet'!K145</f>
        <v>0</v>
      </c>
      <c r="G42" s="74">
        <f>'Stavební rozpočet'!M145</f>
        <v>0</v>
      </c>
      <c r="H42" s="70" t="s">
        <v>571</v>
      </c>
      <c r="I42" s="51">
        <f t="shared" si="0"/>
        <v>0</v>
      </c>
    </row>
    <row r="43" spans="1:9" ht="12.75">
      <c r="A43" s="62" t="s">
        <v>135</v>
      </c>
      <c r="B43" s="23" t="s">
        <v>22</v>
      </c>
      <c r="C43" s="23" t="s">
        <v>272</v>
      </c>
      <c r="D43" s="51">
        <f>'Stavební rozpočet'!I150</f>
        <v>0</v>
      </c>
      <c r="E43" s="51">
        <f>'Stavební rozpočet'!J150</f>
        <v>0</v>
      </c>
      <c r="F43" s="51">
        <f>'Stavební rozpočet'!K150</f>
        <v>0</v>
      </c>
      <c r="G43" s="74">
        <f>'Stavební rozpočet'!M150</f>
        <v>0</v>
      </c>
      <c r="H43" s="70" t="s">
        <v>571</v>
      </c>
      <c r="I43" s="51">
        <f aca="true" t="shared" si="1" ref="I43:I61">IF(H43="F",0,F43)</f>
        <v>0</v>
      </c>
    </row>
    <row r="44" spans="1:9" ht="12.75">
      <c r="A44" s="62" t="s">
        <v>135</v>
      </c>
      <c r="B44" s="23" t="s">
        <v>23</v>
      </c>
      <c r="C44" s="23" t="s">
        <v>278</v>
      </c>
      <c r="D44" s="51">
        <f>'Stavební rozpočet'!I156</f>
        <v>0</v>
      </c>
      <c r="E44" s="51">
        <f>'Stavební rozpočet'!J156</f>
        <v>0</v>
      </c>
      <c r="F44" s="51">
        <f>'Stavební rozpočet'!K156</f>
        <v>0</v>
      </c>
      <c r="G44" s="74">
        <f>'Stavební rozpočet'!M156</f>
        <v>1.53</v>
      </c>
      <c r="H44" s="70" t="s">
        <v>571</v>
      </c>
      <c r="I44" s="51">
        <f t="shared" si="1"/>
        <v>0</v>
      </c>
    </row>
    <row r="45" spans="1:9" ht="12.75">
      <c r="A45" s="62" t="s">
        <v>135</v>
      </c>
      <c r="B45" s="23" t="s">
        <v>51</v>
      </c>
      <c r="C45" s="23" t="s">
        <v>334</v>
      </c>
      <c r="D45" s="51">
        <f>'Stavební rozpočet'!I162</f>
        <v>0</v>
      </c>
      <c r="E45" s="51">
        <f>'Stavební rozpočet'!J162</f>
        <v>0</v>
      </c>
      <c r="F45" s="51">
        <f>'Stavební rozpočet'!K162</f>
        <v>0</v>
      </c>
      <c r="G45" s="74">
        <f>'Stavební rozpočet'!M162</f>
        <v>0.33966</v>
      </c>
      <c r="H45" s="70" t="s">
        <v>571</v>
      </c>
      <c r="I45" s="51">
        <f t="shared" si="1"/>
        <v>0</v>
      </c>
    </row>
    <row r="46" spans="1:9" ht="12.75">
      <c r="A46" s="62" t="s">
        <v>135</v>
      </c>
      <c r="B46" s="23" t="s">
        <v>93</v>
      </c>
      <c r="C46" s="23" t="s">
        <v>259</v>
      </c>
      <c r="D46" s="51">
        <f>'Stavební rozpočet'!I165</f>
        <v>0</v>
      </c>
      <c r="E46" s="51">
        <f>'Stavební rozpočet'!J165</f>
        <v>0</v>
      </c>
      <c r="F46" s="51">
        <f>'Stavební rozpočet'!K165</f>
        <v>0</v>
      </c>
      <c r="G46" s="74">
        <f>'Stavební rozpočet'!M165</f>
        <v>15.527259999999998</v>
      </c>
      <c r="H46" s="70" t="s">
        <v>571</v>
      </c>
      <c r="I46" s="51">
        <f t="shared" si="1"/>
        <v>0</v>
      </c>
    </row>
    <row r="47" spans="1:9" ht="12.75">
      <c r="A47" s="62" t="s">
        <v>136</v>
      </c>
      <c r="B47" s="23"/>
      <c r="C47" s="23" t="s">
        <v>396</v>
      </c>
      <c r="D47" s="51">
        <f>'Stavební rozpočet'!I173</f>
        <v>0</v>
      </c>
      <c r="E47" s="51">
        <f>'Stavební rozpočet'!J173</f>
        <v>0</v>
      </c>
      <c r="F47" s="51">
        <f>'Stavební rozpočet'!K173</f>
        <v>0</v>
      </c>
      <c r="G47" s="74">
        <f>'Stavební rozpočet'!M173</f>
        <v>109.6815858</v>
      </c>
      <c r="H47" s="70" t="s">
        <v>570</v>
      </c>
      <c r="I47" s="51">
        <f t="shared" si="1"/>
        <v>0</v>
      </c>
    </row>
    <row r="48" spans="1:9" ht="12.75">
      <c r="A48" s="62" t="s">
        <v>136</v>
      </c>
      <c r="B48" s="23" t="s">
        <v>19</v>
      </c>
      <c r="C48" s="23" t="s">
        <v>310</v>
      </c>
      <c r="D48" s="51">
        <f>'Stavební rozpočet'!I174</f>
        <v>0</v>
      </c>
      <c r="E48" s="51">
        <f>'Stavební rozpočet'!J174</f>
        <v>0</v>
      </c>
      <c r="F48" s="51">
        <f>'Stavební rozpočet'!K174</f>
        <v>0</v>
      </c>
      <c r="G48" s="74">
        <f>'Stavební rozpočet'!M174</f>
        <v>0</v>
      </c>
      <c r="H48" s="70" t="s">
        <v>571</v>
      </c>
      <c r="I48" s="51">
        <f t="shared" si="1"/>
        <v>0</v>
      </c>
    </row>
    <row r="49" spans="1:9" ht="12.75">
      <c r="A49" s="62" t="s">
        <v>136</v>
      </c>
      <c r="B49" s="23" t="s">
        <v>22</v>
      </c>
      <c r="C49" s="23" t="s">
        <v>272</v>
      </c>
      <c r="D49" s="51">
        <f>'Stavební rozpočet'!I179</f>
        <v>0</v>
      </c>
      <c r="E49" s="51">
        <f>'Stavební rozpočet'!J179</f>
        <v>0</v>
      </c>
      <c r="F49" s="51">
        <f>'Stavební rozpočet'!K179</f>
        <v>0</v>
      </c>
      <c r="G49" s="74">
        <f>'Stavební rozpočet'!M179</f>
        <v>0</v>
      </c>
      <c r="H49" s="70" t="s">
        <v>571</v>
      </c>
      <c r="I49" s="51">
        <f t="shared" si="1"/>
        <v>0</v>
      </c>
    </row>
    <row r="50" spans="1:9" ht="12.75">
      <c r="A50" s="62" t="s">
        <v>136</v>
      </c>
      <c r="B50" s="23" t="s">
        <v>23</v>
      </c>
      <c r="C50" s="23" t="s">
        <v>278</v>
      </c>
      <c r="D50" s="51">
        <f>'Stavební rozpočet'!I184</f>
        <v>0</v>
      </c>
      <c r="E50" s="51">
        <f>'Stavební rozpočet'!J184</f>
        <v>0</v>
      </c>
      <c r="F50" s="51">
        <f>'Stavební rozpočet'!K184</f>
        <v>0</v>
      </c>
      <c r="G50" s="74">
        <f>'Stavební rozpočet'!M184</f>
        <v>47.736</v>
      </c>
      <c r="H50" s="70" t="s">
        <v>571</v>
      </c>
      <c r="I50" s="51">
        <f t="shared" si="1"/>
        <v>0</v>
      </c>
    </row>
    <row r="51" spans="1:9" ht="12.75">
      <c r="A51" s="62" t="s">
        <v>136</v>
      </c>
      <c r="B51" s="23" t="s">
        <v>27</v>
      </c>
      <c r="C51" s="23" t="s">
        <v>284</v>
      </c>
      <c r="D51" s="51">
        <f>'Stavební rozpočet'!I191</f>
        <v>0</v>
      </c>
      <c r="E51" s="51">
        <f>'Stavební rozpočet'!J191</f>
        <v>0</v>
      </c>
      <c r="F51" s="51">
        <f>'Stavební rozpočet'!K191</f>
        <v>0</v>
      </c>
      <c r="G51" s="74">
        <f>'Stavební rozpočet'!M191</f>
        <v>12.441600000000001</v>
      </c>
      <c r="H51" s="70" t="s">
        <v>571</v>
      </c>
      <c r="I51" s="51">
        <f t="shared" si="1"/>
        <v>0</v>
      </c>
    </row>
    <row r="52" spans="1:9" ht="12.75">
      <c r="A52" s="62" t="s">
        <v>136</v>
      </c>
      <c r="B52" s="23" t="s">
        <v>51</v>
      </c>
      <c r="C52" s="23" t="s">
        <v>334</v>
      </c>
      <c r="D52" s="51">
        <f>'Stavební rozpočet'!I194</f>
        <v>0</v>
      </c>
      <c r="E52" s="51">
        <f>'Stavební rozpočet'!J194</f>
        <v>0</v>
      </c>
      <c r="F52" s="51">
        <f>'Stavební rozpočet'!K194</f>
        <v>0</v>
      </c>
      <c r="G52" s="74">
        <f>'Stavební rozpočet'!M194</f>
        <v>13.2732054</v>
      </c>
      <c r="H52" s="70" t="s">
        <v>571</v>
      </c>
      <c r="I52" s="51">
        <f t="shared" si="1"/>
        <v>0</v>
      </c>
    </row>
    <row r="53" spans="1:9" ht="12.75">
      <c r="A53" s="62" t="s">
        <v>136</v>
      </c>
      <c r="B53" s="23" t="s">
        <v>93</v>
      </c>
      <c r="C53" s="23" t="s">
        <v>259</v>
      </c>
      <c r="D53" s="51">
        <f>'Stavební rozpočet'!I197</f>
        <v>0</v>
      </c>
      <c r="E53" s="51">
        <f>'Stavební rozpočet'!J197</f>
        <v>0</v>
      </c>
      <c r="F53" s="51">
        <f>'Stavební rozpočet'!K197</f>
        <v>0</v>
      </c>
      <c r="G53" s="74">
        <f>'Stavební rozpočet'!M197</f>
        <v>0.67752</v>
      </c>
      <c r="H53" s="70" t="s">
        <v>571</v>
      </c>
      <c r="I53" s="51">
        <f t="shared" si="1"/>
        <v>0</v>
      </c>
    </row>
    <row r="54" spans="1:9" ht="12.75">
      <c r="A54" s="62" t="s">
        <v>136</v>
      </c>
      <c r="B54" s="23" t="s">
        <v>95</v>
      </c>
      <c r="C54" s="23" t="s">
        <v>356</v>
      </c>
      <c r="D54" s="51">
        <f>'Stavební rozpočet'!I206</f>
        <v>0</v>
      </c>
      <c r="E54" s="51">
        <f>'Stavební rozpočet'!J206</f>
        <v>0</v>
      </c>
      <c r="F54" s="51">
        <f>'Stavební rozpočet'!K206</f>
        <v>0</v>
      </c>
      <c r="G54" s="74">
        <f>'Stavební rozpočet'!M206</f>
        <v>35.553260400000006</v>
      </c>
      <c r="H54" s="70" t="s">
        <v>571</v>
      </c>
      <c r="I54" s="51">
        <f t="shared" si="1"/>
        <v>0</v>
      </c>
    </row>
    <row r="55" spans="1:9" ht="12.75">
      <c r="A55" s="62" t="s">
        <v>136</v>
      </c>
      <c r="B55" s="23" t="s">
        <v>216</v>
      </c>
      <c r="C55" s="23" t="s">
        <v>377</v>
      </c>
      <c r="D55" s="51">
        <f>'Stavební rozpočet'!I219</f>
        <v>0</v>
      </c>
      <c r="E55" s="51">
        <f>'Stavební rozpočet'!J219</f>
        <v>0</v>
      </c>
      <c r="F55" s="51">
        <f>'Stavební rozpočet'!K219</f>
        <v>0</v>
      </c>
      <c r="G55" s="74">
        <f>'Stavební rozpočet'!M219</f>
        <v>0</v>
      </c>
      <c r="H55" s="70" t="s">
        <v>571</v>
      </c>
      <c r="I55" s="51">
        <f t="shared" si="1"/>
        <v>0</v>
      </c>
    </row>
    <row r="56" spans="1:9" ht="12.75">
      <c r="A56" s="62" t="s">
        <v>137</v>
      </c>
      <c r="B56" s="23"/>
      <c r="C56" s="23" t="s">
        <v>423</v>
      </c>
      <c r="D56" s="51">
        <f>'Stavební rozpočet'!I221</f>
        <v>0</v>
      </c>
      <c r="E56" s="51">
        <f>'Stavební rozpočet'!J221</f>
        <v>0</v>
      </c>
      <c r="F56" s="51">
        <f>'Stavební rozpočet'!K221</f>
        <v>0</v>
      </c>
      <c r="G56" s="74">
        <f>'Stavební rozpočet'!M221</f>
        <v>54.64339999999999</v>
      </c>
      <c r="H56" s="70" t="s">
        <v>570</v>
      </c>
      <c r="I56" s="51">
        <f t="shared" si="1"/>
        <v>0</v>
      </c>
    </row>
    <row r="57" spans="1:9" ht="12.75">
      <c r="A57" s="62" t="s">
        <v>137</v>
      </c>
      <c r="B57" s="23" t="s">
        <v>235</v>
      </c>
      <c r="C57" s="23" t="s">
        <v>424</v>
      </c>
      <c r="D57" s="51">
        <f>'Stavební rozpočet'!I222</f>
        <v>0</v>
      </c>
      <c r="E57" s="51">
        <f>'Stavební rozpočet'!J222</f>
        <v>0</v>
      </c>
      <c r="F57" s="51">
        <f>'Stavební rozpočet'!K222</f>
        <v>0</v>
      </c>
      <c r="G57" s="74">
        <f>'Stavební rozpočet'!M222</f>
        <v>0</v>
      </c>
      <c r="H57" s="70" t="s">
        <v>571</v>
      </c>
      <c r="I57" s="51">
        <f t="shared" si="1"/>
        <v>0</v>
      </c>
    </row>
    <row r="58" spans="1:9" ht="12.75">
      <c r="A58" s="62" t="s">
        <v>137</v>
      </c>
      <c r="B58" s="23" t="s">
        <v>143</v>
      </c>
      <c r="C58" s="23" t="s">
        <v>263</v>
      </c>
      <c r="D58" s="51">
        <f>'Stavební rozpočet'!I224</f>
        <v>0</v>
      </c>
      <c r="E58" s="51">
        <f>'Stavební rozpočet'!J224</f>
        <v>0</v>
      </c>
      <c r="F58" s="51">
        <f>'Stavební rozpočet'!K224</f>
        <v>0</v>
      </c>
      <c r="G58" s="74">
        <f>'Stavební rozpočet'!M224</f>
        <v>0</v>
      </c>
      <c r="H58" s="70" t="s">
        <v>571</v>
      </c>
      <c r="I58" s="51">
        <f t="shared" si="1"/>
        <v>0</v>
      </c>
    </row>
    <row r="59" spans="1:9" ht="12.75">
      <c r="A59" s="62" t="s">
        <v>137</v>
      </c>
      <c r="B59" s="23" t="s">
        <v>240</v>
      </c>
      <c r="C59" s="23" t="s">
        <v>429</v>
      </c>
      <c r="D59" s="51">
        <f>'Stavební rozpočet'!I228</f>
        <v>0</v>
      </c>
      <c r="E59" s="51">
        <f>'Stavební rozpočet'!J228</f>
        <v>0</v>
      </c>
      <c r="F59" s="51">
        <f>'Stavební rozpočet'!K228</f>
        <v>0</v>
      </c>
      <c r="G59" s="74">
        <f>'Stavební rozpočet'!M228</f>
        <v>54.0372</v>
      </c>
      <c r="H59" s="70" t="s">
        <v>571</v>
      </c>
      <c r="I59" s="51">
        <f t="shared" si="1"/>
        <v>0</v>
      </c>
    </row>
    <row r="60" spans="1:9" ht="12.75">
      <c r="A60" s="62" t="s">
        <v>137</v>
      </c>
      <c r="B60" s="23" t="s">
        <v>244</v>
      </c>
      <c r="C60" s="23" t="s">
        <v>436</v>
      </c>
      <c r="D60" s="51">
        <f>'Stavební rozpočet'!I235</f>
        <v>0</v>
      </c>
      <c r="E60" s="51">
        <f>'Stavební rozpočet'!J235</f>
        <v>0</v>
      </c>
      <c r="F60" s="51">
        <f>'Stavební rozpočet'!K235</f>
        <v>0</v>
      </c>
      <c r="G60" s="74">
        <f>'Stavební rozpočet'!M235</f>
        <v>0.4466</v>
      </c>
      <c r="H60" s="70" t="s">
        <v>571</v>
      </c>
      <c r="I60" s="51">
        <f t="shared" si="1"/>
        <v>0</v>
      </c>
    </row>
    <row r="61" spans="1:9" ht="12.75">
      <c r="A61" s="63" t="s">
        <v>137</v>
      </c>
      <c r="B61" s="66"/>
      <c r="C61" s="66" t="s">
        <v>446</v>
      </c>
      <c r="D61" s="72">
        <f>'Stavební rozpočet'!I246</f>
        <v>0</v>
      </c>
      <c r="E61" s="72">
        <f>'Stavební rozpočet'!J246</f>
        <v>0</v>
      </c>
      <c r="F61" s="72">
        <f>'Stavební rozpočet'!K246</f>
        <v>0</v>
      </c>
      <c r="G61" s="75">
        <f>'Stavební rozpočet'!M246</f>
        <v>0.1596</v>
      </c>
      <c r="H61" s="70" t="s">
        <v>571</v>
      </c>
      <c r="I61" s="51">
        <f t="shared" si="1"/>
        <v>0</v>
      </c>
    </row>
    <row r="62" spans="1:7" ht="12.75">
      <c r="A62" s="10"/>
      <c r="B62" s="10"/>
      <c r="C62" s="10"/>
      <c r="D62" s="10"/>
      <c r="E62" s="35" t="s">
        <v>476</v>
      </c>
      <c r="F62" s="59">
        <f>SUM(I11:I61)</f>
        <v>0</v>
      </c>
      <c r="G62" s="10"/>
    </row>
  </sheetData>
  <sheetProtection/>
  <mergeCells count="25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51"/>
  <sheetViews>
    <sheetView zoomScalePageLayoutView="0" workbookViewId="0" topLeftCell="A1">
      <pane ySplit="11" topLeftCell="A230" activePane="bottomLeft" state="frozen"/>
      <selection pane="topLeft" activeCell="A1" sqref="A1"/>
      <selection pane="bottomLeft" activeCell="O248" sqref="O248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26.7109375" style="0" customWidth="1"/>
    <col min="5" max="5" width="49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58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5" ht="12.75">
      <c r="A2" s="148" t="s">
        <v>1</v>
      </c>
      <c r="B2" s="149"/>
      <c r="C2" s="149"/>
      <c r="D2" s="150" t="s">
        <v>252</v>
      </c>
      <c r="E2" s="151"/>
      <c r="F2" s="159" t="s">
        <v>453</v>
      </c>
      <c r="G2" s="149"/>
      <c r="H2" s="159" t="s">
        <v>6</v>
      </c>
      <c r="I2" s="153" t="s">
        <v>470</v>
      </c>
      <c r="J2" s="159" t="s">
        <v>477</v>
      </c>
      <c r="K2" s="149"/>
      <c r="L2" s="149"/>
      <c r="M2" s="149"/>
      <c r="N2" s="186"/>
      <c r="O2" s="6"/>
    </row>
    <row r="3" spans="1:15" ht="12.75">
      <c r="A3" s="143"/>
      <c r="B3" s="117"/>
      <c r="C3" s="117"/>
      <c r="D3" s="152"/>
      <c r="E3" s="152"/>
      <c r="F3" s="117"/>
      <c r="G3" s="117"/>
      <c r="H3" s="117"/>
      <c r="I3" s="117"/>
      <c r="J3" s="117"/>
      <c r="K3" s="117"/>
      <c r="L3" s="117"/>
      <c r="M3" s="117"/>
      <c r="N3" s="145"/>
      <c r="O3" s="6"/>
    </row>
    <row r="4" spans="1:15" ht="12.75">
      <c r="A4" s="137" t="s">
        <v>2</v>
      </c>
      <c r="B4" s="117"/>
      <c r="C4" s="117"/>
      <c r="D4" s="116" t="s">
        <v>6</v>
      </c>
      <c r="E4" s="117"/>
      <c r="F4" s="140" t="s">
        <v>454</v>
      </c>
      <c r="G4" s="117"/>
      <c r="H4" s="140" t="s">
        <v>6</v>
      </c>
      <c r="I4" s="116" t="s">
        <v>471</v>
      </c>
      <c r="J4" s="140" t="s">
        <v>477</v>
      </c>
      <c r="K4" s="117"/>
      <c r="L4" s="117"/>
      <c r="M4" s="117"/>
      <c r="N4" s="145"/>
      <c r="O4" s="6"/>
    </row>
    <row r="5" spans="1:15" ht="12.75">
      <c r="A5" s="143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45"/>
      <c r="O5" s="6"/>
    </row>
    <row r="6" spans="1:15" ht="12.75">
      <c r="A6" s="137" t="s">
        <v>3</v>
      </c>
      <c r="B6" s="117"/>
      <c r="C6" s="117"/>
      <c r="D6" s="116" t="s">
        <v>253</v>
      </c>
      <c r="E6" s="117"/>
      <c r="F6" s="140" t="s">
        <v>455</v>
      </c>
      <c r="G6" s="117"/>
      <c r="H6" s="140" t="s">
        <v>6</v>
      </c>
      <c r="I6" s="116" t="s">
        <v>472</v>
      </c>
      <c r="J6" s="140" t="s">
        <v>477</v>
      </c>
      <c r="K6" s="117"/>
      <c r="L6" s="117"/>
      <c r="M6" s="117"/>
      <c r="N6" s="145"/>
      <c r="O6" s="6"/>
    </row>
    <row r="7" spans="1:15" ht="12.75">
      <c r="A7" s="143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45"/>
      <c r="O7" s="6"/>
    </row>
    <row r="8" spans="1:15" ht="12.75">
      <c r="A8" s="137" t="s">
        <v>4</v>
      </c>
      <c r="B8" s="117"/>
      <c r="C8" s="117"/>
      <c r="D8" s="116" t="s">
        <v>6</v>
      </c>
      <c r="E8" s="117"/>
      <c r="F8" s="140" t="s">
        <v>456</v>
      </c>
      <c r="G8" s="117"/>
      <c r="H8" s="140" t="s">
        <v>467</v>
      </c>
      <c r="I8" s="116" t="s">
        <v>473</v>
      </c>
      <c r="J8" s="140" t="s">
        <v>477</v>
      </c>
      <c r="K8" s="117"/>
      <c r="L8" s="117"/>
      <c r="M8" s="117"/>
      <c r="N8" s="145"/>
      <c r="O8" s="6"/>
    </row>
    <row r="9" spans="1:15" ht="12.75">
      <c r="A9" s="155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7"/>
      <c r="O9" s="6"/>
    </row>
    <row r="10" spans="1:64" ht="12.75">
      <c r="A10" s="1" t="s">
        <v>5</v>
      </c>
      <c r="B10" s="12" t="s">
        <v>130</v>
      </c>
      <c r="C10" s="12" t="s">
        <v>138</v>
      </c>
      <c r="D10" s="177" t="s">
        <v>254</v>
      </c>
      <c r="E10" s="178"/>
      <c r="F10" s="12" t="s">
        <v>457</v>
      </c>
      <c r="G10" s="27" t="s">
        <v>466</v>
      </c>
      <c r="H10" s="32" t="s">
        <v>468</v>
      </c>
      <c r="I10" s="179" t="s">
        <v>474</v>
      </c>
      <c r="J10" s="180"/>
      <c r="K10" s="181"/>
      <c r="L10" s="179" t="s">
        <v>480</v>
      </c>
      <c r="M10" s="181"/>
      <c r="N10" s="41" t="s">
        <v>482</v>
      </c>
      <c r="O10" s="50"/>
      <c r="BK10" s="39" t="s">
        <v>560</v>
      </c>
      <c r="BL10" s="55" t="s">
        <v>563</v>
      </c>
    </row>
    <row r="11" spans="1:62" ht="12.75">
      <c r="A11" s="2" t="s">
        <v>6</v>
      </c>
      <c r="B11" s="13" t="s">
        <v>6</v>
      </c>
      <c r="C11" s="13" t="s">
        <v>6</v>
      </c>
      <c r="D11" s="182" t="s">
        <v>255</v>
      </c>
      <c r="E11" s="183"/>
      <c r="F11" s="13" t="s">
        <v>6</v>
      </c>
      <c r="G11" s="13" t="s">
        <v>6</v>
      </c>
      <c r="H11" s="33" t="s">
        <v>469</v>
      </c>
      <c r="I11" s="34" t="s">
        <v>475</v>
      </c>
      <c r="J11" s="36" t="s">
        <v>478</v>
      </c>
      <c r="K11" s="37" t="s">
        <v>479</v>
      </c>
      <c r="L11" s="34" t="s">
        <v>481</v>
      </c>
      <c r="M11" s="37" t="s">
        <v>479</v>
      </c>
      <c r="N11" s="42" t="s">
        <v>483</v>
      </c>
      <c r="O11" s="50"/>
      <c r="Z11" s="39" t="s">
        <v>489</v>
      </c>
      <c r="AA11" s="39" t="s">
        <v>490</v>
      </c>
      <c r="AB11" s="39" t="s">
        <v>491</v>
      </c>
      <c r="AC11" s="39" t="s">
        <v>492</v>
      </c>
      <c r="AD11" s="39" t="s">
        <v>493</v>
      </c>
      <c r="AE11" s="39" t="s">
        <v>494</v>
      </c>
      <c r="AF11" s="39" t="s">
        <v>495</v>
      </c>
      <c r="AG11" s="39" t="s">
        <v>496</v>
      </c>
      <c r="AH11" s="39" t="s">
        <v>497</v>
      </c>
      <c r="BH11" s="39" t="s">
        <v>557</v>
      </c>
      <c r="BI11" s="39" t="s">
        <v>558</v>
      </c>
      <c r="BJ11" s="39" t="s">
        <v>559</v>
      </c>
    </row>
    <row r="12" spans="1:15" ht="12.75">
      <c r="A12" s="3"/>
      <c r="B12" s="14" t="s">
        <v>131</v>
      </c>
      <c r="C12" s="14"/>
      <c r="D12" s="184" t="s">
        <v>256</v>
      </c>
      <c r="E12" s="185"/>
      <c r="F12" s="24" t="s">
        <v>6</v>
      </c>
      <c r="G12" s="24" t="s">
        <v>6</v>
      </c>
      <c r="H12" s="24" t="s">
        <v>6</v>
      </c>
      <c r="I12" s="56">
        <f>I13+I15+I19</f>
        <v>0</v>
      </c>
      <c r="J12" s="56">
        <f>J13+J15+J19</f>
        <v>0</v>
      </c>
      <c r="K12" s="56">
        <f>K13+K15+K19</f>
        <v>0</v>
      </c>
      <c r="L12" s="38"/>
      <c r="M12" s="56">
        <f>M13+M15+M19</f>
        <v>0.38432</v>
      </c>
      <c r="N12" s="43"/>
      <c r="O12" s="6"/>
    </row>
    <row r="13" spans="1:47" ht="12.75">
      <c r="A13" s="4"/>
      <c r="B13" s="15" t="s">
        <v>131</v>
      </c>
      <c r="C13" s="15" t="s">
        <v>33</v>
      </c>
      <c r="D13" s="166" t="s">
        <v>257</v>
      </c>
      <c r="E13" s="167"/>
      <c r="F13" s="25" t="s">
        <v>6</v>
      </c>
      <c r="G13" s="25" t="s">
        <v>6</v>
      </c>
      <c r="H13" s="25" t="s">
        <v>6</v>
      </c>
      <c r="I13" s="57">
        <f>SUM(I14:I14)</f>
        <v>0</v>
      </c>
      <c r="J13" s="57">
        <f>SUM(J14:J14)</f>
        <v>0</v>
      </c>
      <c r="K13" s="57">
        <f>SUM(K14:K14)</f>
        <v>0</v>
      </c>
      <c r="L13" s="39"/>
      <c r="M13" s="57">
        <f>SUM(M14:M14)</f>
        <v>0.38416</v>
      </c>
      <c r="N13" s="44"/>
      <c r="O13" s="6"/>
      <c r="AI13" s="39" t="s">
        <v>131</v>
      </c>
      <c r="AS13" s="57">
        <f>SUM(AJ14:AJ14)</f>
        <v>0</v>
      </c>
      <c r="AT13" s="57">
        <f>SUM(AK14:AK14)</f>
        <v>0</v>
      </c>
      <c r="AU13" s="57">
        <f>SUM(AL14:AL14)</f>
        <v>0</v>
      </c>
    </row>
    <row r="14" spans="1:64" ht="12.75">
      <c r="A14" s="5" t="s">
        <v>7</v>
      </c>
      <c r="B14" s="16" t="s">
        <v>131</v>
      </c>
      <c r="C14" s="16" t="s">
        <v>139</v>
      </c>
      <c r="D14" s="161" t="s">
        <v>258</v>
      </c>
      <c r="E14" s="162"/>
      <c r="F14" s="16" t="s">
        <v>458</v>
      </c>
      <c r="G14" s="28">
        <v>4</v>
      </c>
      <c r="H14" s="28">
        <v>0</v>
      </c>
      <c r="I14" s="28">
        <f>G14*AO14</f>
        <v>0</v>
      </c>
      <c r="J14" s="28">
        <f>G14*AP14</f>
        <v>0</v>
      </c>
      <c r="K14" s="28">
        <f>G14*H14</f>
        <v>0</v>
      </c>
      <c r="L14" s="28">
        <v>0.09604</v>
      </c>
      <c r="M14" s="28">
        <f>G14*L14</f>
        <v>0.38416</v>
      </c>
      <c r="N14" s="45" t="s">
        <v>484</v>
      </c>
      <c r="O14" s="6"/>
      <c r="Z14" s="51">
        <f>IF(AQ14="5",BJ14,0)</f>
        <v>0</v>
      </c>
      <c r="AB14" s="51">
        <f>IF(AQ14="1",BH14,0)</f>
        <v>0</v>
      </c>
      <c r="AC14" s="51">
        <f>IF(AQ14="1",BI14,0)</f>
        <v>0</v>
      </c>
      <c r="AD14" s="51">
        <f>IF(AQ14="7",BH14,0)</f>
        <v>0</v>
      </c>
      <c r="AE14" s="51">
        <f>IF(AQ14="7",BI14,0)</f>
        <v>0</v>
      </c>
      <c r="AF14" s="51">
        <f>IF(AQ14="2",BH14,0)</f>
        <v>0</v>
      </c>
      <c r="AG14" s="51">
        <f>IF(AQ14="2",BI14,0)</f>
        <v>0</v>
      </c>
      <c r="AH14" s="51">
        <f>IF(AQ14="0",BJ14,0)</f>
        <v>0</v>
      </c>
      <c r="AI14" s="39" t="s">
        <v>131</v>
      </c>
      <c r="AJ14" s="28">
        <f>IF(AN14=0,K14,0)</f>
        <v>0</v>
      </c>
      <c r="AK14" s="28">
        <f>IF(AN14=15,K14,0)</f>
        <v>0</v>
      </c>
      <c r="AL14" s="28">
        <f>IF(AN14=21,K14,0)</f>
        <v>0</v>
      </c>
      <c r="AN14" s="51">
        <v>21</v>
      </c>
      <c r="AO14" s="51">
        <f>H14*0.0369529780564263</f>
        <v>0</v>
      </c>
      <c r="AP14" s="51">
        <f>H14*(1-0.0369529780564263)</f>
        <v>0</v>
      </c>
      <c r="AQ14" s="52" t="s">
        <v>7</v>
      </c>
      <c r="AV14" s="51">
        <f>AW14+AX14</f>
        <v>0</v>
      </c>
      <c r="AW14" s="51">
        <f>G14*AO14</f>
        <v>0</v>
      </c>
      <c r="AX14" s="51">
        <f>G14*AP14</f>
        <v>0</v>
      </c>
      <c r="AY14" s="54" t="s">
        <v>499</v>
      </c>
      <c r="AZ14" s="54" t="s">
        <v>524</v>
      </c>
      <c r="BA14" s="39" t="s">
        <v>550</v>
      </c>
      <c r="BC14" s="51">
        <f>AW14+AX14</f>
        <v>0</v>
      </c>
      <c r="BD14" s="51">
        <f>H14/(100-BE14)*100</f>
        <v>0</v>
      </c>
      <c r="BE14" s="51">
        <v>0</v>
      </c>
      <c r="BF14" s="51">
        <f>M14</f>
        <v>0.38416</v>
      </c>
      <c r="BH14" s="28">
        <f>G14*AO14</f>
        <v>0</v>
      </c>
      <c r="BI14" s="28">
        <f>G14*AP14</f>
        <v>0</v>
      </c>
      <c r="BJ14" s="28">
        <f>G14*H14</f>
        <v>0</v>
      </c>
      <c r="BK14" s="28" t="s">
        <v>561</v>
      </c>
      <c r="BL14" s="51">
        <v>27</v>
      </c>
    </row>
    <row r="15" spans="1:47" ht="12.75">
      <c r="A15" s="4"/>
      <c r="B15" s="15" t="s">
        <v>131</v>
      </c>
      <c r="C15" s="15" t="s">
        <v>93</v>
      </c>
      <c r="D15" s="166" t="s">
        <v>259</v>
      </c>
      <c r="E15" s="167"/>
      <c r="F15" s="25" t="s">
        <v>6</v>
      </c>
      <c r="G15" s="25" t="s">
        <v>6</v>
      </c>
      <c r="H15" s="25" t="s">
        <v>6</v>
      </c>
      <c r="I15" s="57">
        <f>SUM(I16:I18)</f>
        <v>0</v>
      </c>
      <c r="J15" s="57">
        <f>SUM(J16:J18)</f>
        <v>0</v>
      </c>
      <c r="K15" s="57">
        <f>SUM(K16:K18)</f>
        <v>0</v>
      </c>
      <c r="L15" s="39"/>
      <c r="M15" s="57">
        <f>SUM(M16:M18)</f>
        <v>0.00016</v>
      </c>
      <c r="N15" s="44"/>
      <c r="O15" s="6"/>
      <c r="AI15" s="39" t="s">
        <v>131</v>
      </c>
      <c r="AS15" s="57">
        <f>SUM(AJ16:AJ18)</f>
        <v>0</v>
      </c>
      <c r="AT15" s="57">
        <f>SUM(AK16:AK18)</f>
        <v>0</v>
      </c>
      <c r="AU15" s="57">
        <f>SUM(AL16:AL18)</f>
        <v>0</v>
      </c>
    </row>
    <row r="16" spans="1:64" ht="12.75">
      <c r="A16" s="5" t="s">
        <v>8</v>
      </c>
      <c r="B16" s="16" t="s">
        <v>131</v>
      </c>
      <c r="C16" s="16" t="s">
        <v>140</v>
      </c>
      <c r="D16" s="161" t="s">
        <v>260</v>
      </c>
      <c r="E16" s="162"/>
      <c r="F16" s="16" t="s">
        <v>458</v>
      </c>
      <c r="G16" s="28">
        <v>1</v>
      </c>
      <c r="H16" s="28">
        <v>0</v>
      </c>
      <c r="I16" s="28">
        <f>G16*AO16</f>
        <v>0</v>
      </c>
      <c r="J16" s="28">
        <f>G16*AP16</f>
        <v>0</v>
      </c>
      <c r="K16" s="28">
        <f>G16*H16</f>
        <v>0</v>
      </c>
      <c r="L16" s="28">
        <v>8E-05</v>
      </c>
      <c r="M16" s="28">
        <f>G16*L16</f>
        <v>8E-05</v>
      </c>
      <c r="N16" s="45" t="s">
        <v>484</v>
      </c>
      <c r="O16" s="6"/>
      <c r="Z16" s="51">
        <f>IF(AQ16="5",BJ16,0)</f>
        <v>0</v>
      </c>
      <c r="AB16" s="51">
        <f>IF(AQ16="1",BH16,0)</f>
        <v>0</v>
      </c>
      <c r="AC16" s="51">
        <f>IF(AQ16="1",BI16,0)</f>
        <v>0</v>
      </c>
      <c r="AD16" s="51">
        <f>IF(AQ16="7",BH16,0)</f>
        <v>0</v>
      </c>
      <c r="AE16" s="51">
        <f>IF(AQ16="7",BI16,0)</f>
        <v>0</v>
      </c>
      <c r="AF16" s="51">
        <f>IF(AQ16="2",BH16,0)</f>
        <v>0</v>
      </c>
      <c r="AG16" s="51">
        <f>IF(AQ16="2",BI16,0)</f>
        <v>0</v>
      </c>
      <c r="AH16" s="51">
        <f>IF(AQ16="0",BJ16,0)</f>
        <v>0</v>
      </c>
      <c r="AI16" s="39" t="s">
        <v>131</v>
      </c>
      <c r="AJ16" s="28">
        <f>IF(AN16=0,K16,0)</f>
        <v>0</v>
      </c>
      <c r="AK16" s="28">
        <f>IF(AN16=15,K16,0)</f>
        <v>0</v>
      </c>
      <c r="AL16" s="28">
        <f>IF(AN16=21,K16,0)</f>
        <v>0</v>
      </c>
      <c r="AN16" s="51">
        <v>21</v>
      </c>
      <c r="AO16" s="51">
        <f>H16*0.00853333333333333</f>
        <v>0</v>
      </c>
      <c r="AP16" s="51">
        <f>H16*(1-0.00853333333333333)</f>
        <v>0</v>
      </c>
      <c r="AQ16" s="52" t="s">
        <v>7</v>
      </c>
      <c r="AV16" s="51">
        <f>AW16+AX16</f>
        <v>0</v>
      </c>
      <c r="AW16" s="51">
        <f>G16*AO16</f>
        <v>0</v>
      </c>
      <c r="AX16" s="51">
        <f>G16*AP16</f>
        <v>0</v>
      </c>
      <c r="AY16" s="54" t="s">
        <v>500</v>
      </c>
      <c r="AZ16" s="54" t="s">
        <v>525</v>
      </c>
      <c r="BA16" s="39" t="s">
        <v>550</v>
      </c>
      <c r="BC16" s="51">
        <f>AW16+AX16</f>
        <v>0</v>
      </c>
      <c r="BD16" s="51">
        <f>H16/(100-BE16)*100</f>
        <v>0</v>
      </c>
      <c r="BE16" s="51">
        <v>0</v>
      </c>
      <c r="BF16" s="51">
        <f>M16</f>
        <v>8E-05</v>
      </c>
      <c r="BH16" s="28">
        <f>G16*AO16</f>
        <v>0</v>
      </c>
      <c r="BI16" s="28">
        <f>G16*AP16</f>
        <v>0</v>
      </c>
      <c r="BJ16" s="28">
        <f>G16*H16</f>
        <v>0</v>
      </c>
      <c r="BK16" s="28" t="s">
        <v>561</v>
      </c>
      <c r="BL16" s="51">
        <v>87</v>
      </c>
    </row>
    <row r="17" spans="1:15" ht="12.75">
      <c r="A17" s="6"/>
      <c r="C17" s="20" t="s">
        <v>141</v>
      </c>
      <c r="D17" s="163" t="s">
        <v>261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5"/>
      <c r="O17" s="6"/>
    </row>
    <row r="18" spans="1:64" ht="12.75">
      <c r="A18" s="5" t="s">
        <v>9</v>
      </c>
      <c r="B18" s="16" t="s">
        <v>131</v>
      </c>
      <c r="C18" s="16" t="s">
        <v>142</v>
      </c>
      <c r="D18" s="161" t="s">
        <v>262</v>
      </c>
      <c r="E18" s="162"/>
      <c r="F18" s="16" t="s">
        <v>458</v>
      </c>
      <c r="G18" s="28">
        <v>1</v>
      </c>
      <c r="H18" s="28">
        <v>0</v>
      </c>
      <c r="I18" s="28">
        <f>G18*AO18</f>
        <v>0</v>
      </c>
      <c r="J18" s="28">
        <f>G18*AP18</f>
        <v>0</v>
      </c>
      <c r="K18" s="28">
        <f>G18*H18</f>
        <v>0</v>
      </c>
      <c r="L18" s="28">
        <v>8E-05</v>
      </c>
      <c r="M18" s="28">
        <f>G18*L18</f>
        <v>8E-05</v>
      </c>
      <c r="N18" s="45" t="s">
        <v>484</v>
      </c>
      <c r="O18" s="6"/>
      <c r="Z18" s="51">
        <f>IF(AQ18="5",BJ18,0)</f>
        <v>0</v>
      </c>
      <c r="AB18" s="51">
        <f>IF(AQ18="1",BH18,0)</f>
        <v>0</v>
      </c>
      <c r="AC18" s="51">
        <f>IF(AQ18="1",BI18,0)</f>
        <v>0</v>
      </c>
      <c r="AD18" s="51">
        <f>IF(AQ18="7",BH18,0)</f>
        <v>0</v>
      </c>
      <c r="AE18" s="51">
        <f>IF(AQ18="7",BI18,0)</f>
        <v>0</v>
      </c>
      <c r="AF18" s="51">
        <f>IF(AQ18="2",BH18,0)</f>
        <v>0</v>
      </c>
      <c r="AG18" s="51">
        <f>IF(AQ18="2",BI18,0)</f>
        <v>0</v>
      </c>
      <c r="AH18" s="51">
        <f>IF(AQ18="0",BJ18,0)</f>
        <v>0</v>
      </c>
      <c r="AI18" s="39" t="s">
        <v>131</v>
      </c>
      <c r="AJ18" s="28">
        <f>IF(AN18=0,K18,0)</f>
        <v>0</v>
      </c>
      <c r="AK18" s="28">
        <f>IF(AN18=15,K18,0)</f>
        <v>0</v>
      </c>
      <c r="AL18" s="28">
        <f>IF(AN18=21,K18,0)</f>
        <v>0</v>
      </c>
      <c r="AN18" s="51">
        <v>21</v>
      </c>
      <c r="AO18" s="51">
        <f>H18*0.008535</f>
        <v>0</v>
      </c>
      <c r="AP18" s="51">
        <f>H18*(1-0.008535)</f>
        <v>0</v>
      </c>
      <c r="AQ18" s="52" t="s">
        <v>7</v>
      </c>
      <c r="AV18" s="51">
        <f>AW18+AX18</f>
        <v>0</v>
      </c>
      <c r="AW18" s="51">
        <f>G18*AO18</f>
        <v>0</v>
      </c>
      <c r="AX18" s="51">
        <f>G18*AP18</f>
        <v>0</v>
      </c>
      <c r="AY18" s="54" t="s">
        <v>500</v>
      </c>
      <c r="AZ18" s="54" t="s">
        <v>525</v>
      </c>
      <c r="BA18" s="39" t="s">
        <v>550</v>
      </c>
      <c r="BC18" s="51">
        <f>AW18+AX18</f>
        <v>0</v>
      </c>
      <c r="BD18" s="51">
        <f>H18/(100-BE18)*100</f>
        <v>0</v>
      </c>
      <c r="BE18" s="51">
        <v>0</v>
      </c>
      <c r="BF18" s="51">
        <f>M18</f>
        <v>8E-05</v>
      </c>
      <c r="BH18" s="28">
        <f>G18*AO18</f>
        <v>0</v>
      </c>
      <c r="BI18" s="28">
        <f>G18*AP18</f>
        <v>0</v>
      </c>
      <c r="BJ18" s="28">
        <f>G18*H18</f>
        <v>0</v>
      </c>
      <c r="BK18" s="28" t="s">
        <v>561</v>
      </c>
      <c r="BL18" s="51">
        <v>87</v>
      </c>
    </row>
    <row r="19" spans="1:47" ht="12.75">
      <c r="A19" s="4"/>
      <c r="B19" s="15" t="s">
        <v>131</v>
      </c>
      <c r="C19" s="15" t="s">
        <v>143</v>
      </c>
      <c r="D19" s="166" t="s">
        <v>263</v>
      </c>
      <c r="E19" s="167"/>
      <c r="F19" s="25" t="s">
        <v>6</v>
      </c>
      <c r="G19" s="25" t="s">
        <v>6</v>
      </c>
      <c r="H19" s="25" t="s">
        <v>6</v>
      </c>
      <c r="I19" s="57">
        <f>SUM(I20:I20)</f>
        <v>0</v>
      </c>
      <c r="J19" s="57">
        <f>SUM(J20:J20)</f>
        <v>0</v>
      </c>
      <c r="K19" s="57">
        <f>SUM(K20:K20)</f>
        <v>0</v>
      </c>
      <c r="L19" s="39"/>
      <c r="M19" s="57">
        <f>SUM(M20:M20)</f>
        <v>0</v>
      </c>
      <c r="N19" s="44"/>
      <c r="O19" s="6"/>
      <c r="AI19" s="39" t="s">
        <v>131</v>
      </c>
      <c r="AS19" s="57">
        <f>SUM(AJ20:AJ20)</f>
        <v>0</v>
      </c>
      <c r="AT19" s="57">
        <f>SUM(AK20:AK20)</f>
        <v>0</v>
      </c>
      <c r="AU19" s="57">
        <f>SUM(AL20:AL20)</f>
        <v>0</v>
      </c>
    </row>
    <row r="20" spans="1:64" ht="12.75">
      <c r="A20" s="5" t="s">
        <v>10</v>
      </c>
      <c r="B20" s="16" t="s">
        <v>131</v>
      </c>
      <c r="C20" s="16" t="s">
        <v>144</v>
      </c>
      <c r="D20" s="161" t="s">
        <v>264</v>
      </c>
      <c r="E20" s="162"/>
      <c r="F20" s="16" t="s">
        <v>458</v>
      </c>
      <c r="G20" s="28">
        <v>1</v>
      </c>
      <c r="H20" s="28">
        <v>0</v>
      </c>
      <c r="I20" s="28">
        <f>G20*AO20</f>
        <v>0</v>
      </c>
      <c r="J20" s="28">
        <f>G20*AP20</f>
        <v>0</v>
      </c>
      <c r="K20" s="28">
        <f>G20*H20</f>
        <v>0</v>
      </c>
      <c r="L20" s="28">
        <v>0</v>
      </c>
      <c r="M20" s="28">
        <f>G20*L20</f>
        <v>0</v>
      </c>
      <c r="N20" s="45" t="s">
        <v>484</v>
      </c>
      <c r="O20" s="6"/>
      <c r="Z20" s="51">
        <f>IF(AQ20="5",BJ20,0)</f>
        <v>0</v>
      </c>
      <c r="AB20" s="51">
        <f>IF(AQ20="1",BH20,0)</f>
        <v>0</v>
      </c>
      <c r="AC20" s="51">
        <f>IF(AQ20="1",BI20,0)</f>
        <v>0</v>
      </c>
      <c r="AD20" s="51">
        <f>IF(AQ20="7",BH20,0)</f>
        <v>0</v>
      </c>
      <c r="AE20" s="51">
        <f>IF(AQ20="7",BI20,0)</f>
        <v>0</v>
      </c>
      <c r="AF20" s="51">
        <f>IF(AQ20="2",BH20,0)</f>
        <v>0</v>
      </c>
      <c r="AG20" s="51">
        <f>IF(AQ20="2",BI20,0)</f>
        <v>0</v>
      </c>
      <c r="AH20" s="51">
        <f>IF(AQ20="0",BJ20,0)</f>
        <v>0</v>
      </c>
      <c r="AI20" s="39" t="s">
        <v>131</v>
      </c>
      <c r="AJ20" s="28">
        <f>IF(AN20=0,K20,0)</f>
        <v>0</v>
      </c>
      <c r="AK20" s="28">
        <f>IF(AN20=15,K20,0)</f>
        <v>0</v>
      </c>
      <c r="AL20" s="28">
        <f>IF(AN20=21,K20,0)</f>
        <v>0</v>
      </c>
      <c r="AN20" s="51">
        <v>21</v>
      </c>
      <c r="AO20" s="51">
        <f>H20*0</f>
        <v>0</v>
      </c>
      <c r="AP20" s="51">
        <f>H20*(1-0)</f>
        <v>0</v>
      </c>
      <c r="AQ20" s="52" t="s">
        <v>8</v>
      </c>
      <c r="AV20" s="51">
        <f>AW20+AX20</f>
        <v>0</v>
      </c>
      <c r="AW20" s="51">
        <f>G20*AO20</f>
        <v>0</v>
      </c>
      <c r="AX20" s="51">
        <f>G20*AP20</f>
        <v>0</v>
      </c>
      <c r="AY20" s="54" t="s">
        <v>501</v>
      </c>
      <c r="AZ20" s="54" t="s">
        <v>526</v>
      </c>
      <c r="BA20" s="39" t="s">
        <v>550</v>
      </c>
      <c r="BC20" s="51">
        <f>AW20+AX20</f>
        <v>0</v>
      </c>
      <c r="BD20" s="51">
        <f>H20/(100-BE20)*100</f>
        <v>0</v>
      </c>
      <c r="BE20" s="51">
        <v>0</v>
      </c>
      <c r="BF20" s="51">
        <f>M20</f>
        <v>0</v>
      </c>
      <c r="BH20" s="28">
        <f>G20*AO20</f>
        <v>0</v>
      </c>
      <c r="BI20" s="28">
        <f>G20*AP20</f>
        <v>0</v>
      </c>
      <c r="BJ20" s="28">
        <f>G20*H20</f>
        <v>0</v>
      </c>
      <c r="BK20" s="28" t="s">
        <v>561</v>
      </c>
      <c r="BL20" s="51" t="s">
        <v>143</v>
      </c>
    </row>
    <row r="21" spans="1:15" ht="12.75">
      <c r="A21" s="7"/>
      <c r="B21" s="17" t="s">
        <v>132</v>
      </c>
      <c r="C21" s="17"/>
      <c r="D21" s="173" t="s">
        <v>265</v>
      </c>
      <c r="E21" s="174"/>
      <c r="F21" s="26" t="s">
        <v>6</v>
      </c>
      <c r="G21" s="26" t="s">
        <v>6</v>
      </c>
      <c r="H21" s="26" t="s">
        <v>6</v>
      </c>
      <c r="I21" s="58">
        <f>I22+I28+I34+I36+I40+I45+I52+I57+I60+I63+I65</f>
        <v>0</v>
      </c>
      <c r="J21" s="58">
        <f>J22+J28+J34+J36+J40+J45+J52+J57+J60+J63+J65</f>
        <v>0</v>
      </c>
      <c r="K21" s="58">
        <f>K22+K28+K34+K36+K40+K45+K52+K57+K60+K63+K65</f>
        <v>0</v>
      </c>
      <c r="L21" s="40"/>
      <c r="M21" s="58">
        <f>M22+M28+M34+M36+M40+M45+M52+M57+M60+M63+M65</f>
        <v>5955.823990000002</v>
      </c>
      <c r="N21" s="46"/>
      <c r="O21" s="6"/>
    </row>
    <row r="22" spans="1:47" ht="12.75">
      <c r="A22" s="4"/>
      <c r="B22" s="15" t="s">
        <v>132</v>
      </c>
      <c r="C22" s="15" t="s">
        <v>18</v>
      </c>
      <c r="D22" s="166" t="s">
        <v>266</v>
      </c>
      <c r="E22" s="167"/>
      <c r="F22" s="25" t="s">
        <v>6</v>
      </c>
      <c r="G22" s="25" t="s">
        <v>6</v>
      </c>
      <c r="H22" s="25" t="s">
        <v>6</v>
      </c>
      <c r="I22" s="57">
        <f>SUM(I23:I26)</f>
        <v>0</v>
      </c>
      <c r="J22" s="57">
        <f>SUM(J23:J26)</f>
        <v>0</v>
      </c>
      <c r="K22" s="57">
        <f>SUM(K23:K26)</f>
        <v>0</v>
      </c>
      <c r="L22" s="39"/>
      <c r="M22" s="57">
        <f>SUM(M23:M26)</f>
        <v>0</v>
      </c>
      <c r="N22" s="44"/>
      <c r="O22" s="6"/>
      <c r="AI22" s="39" t="s">
        <v>132</v>
      </c>
      <c r="AS22" s="57">
        <f>SUM(AJ23:AJ26)</f>
        <v>0</v>
      </c>
      <c r="AT22" s="57">
        <f>SUM(AK23:AK26)</f>
        <v>0</v>
      </c>
      <c r="AU22" s="57">
        <f>SUM(AL23:AL26)</f>
        <v>0</v>
      </c>
    </row>
    <row r="23" spans="1:64" ht="12.75">
      <c r="A23" s="5" t="s">
        <v>11</v>
      </c>
      <c r="B23" s="16" t="s">
        <v>132</v>
      </c>
      <c r="C23" s="16" t="s">
        <v>145</v>
      </c>
      <c r="D23" s="161" t="s">
        <v>267</v>
      </c>
      <c r="E23" s="162"/>
      <c r="F23" s="16" t="s">
        <v>459</v>
      </c>
      <c r="G23" s="28">
        <v>855</v>
      </c>
      <c r="H23" s="28">
        <v>0</v>
      </c>
      <c r="I23" s="28">
        <f>G23*AO23</f>
        <v>0</v>
      </c>
      <c r="J23" s="28">
        <f>G23*AP23</f>
        <v>0</v>
      </c>
      <c r="K23" s="28">
        <f>G23*H23</f>
        <v>0</v>
      </c>
      <c r="L23" s="28">
        <v>0</v>
      </c>
      <c r="M23" s="28">
        <f>G23*L23</f>
        <v>0</v>
      </c>
      <c r="N23" s="45" t="s">
        <v>484</v>
      </c>
      <c r="O23" s="6"/>
      <c r="Z23" s="51">
        <f>IF(AQ23="5",BJ23,0)</f>
        <v>0</v>
      </c>
      <c r="AB23" s="51">
        <f>IF(AQ23="1",BH23,0)</f>
        <v>0</v>
      </c>
      <c r="AC23" s="51">
        <f>IF(AQ23="1",BI23,0)</f>
        <v>0</v>
      </c>
      <c r="AD23" s="51">
        <f>IF(AQ23="7",BH23,0)</f>
        <v>0</v>
      </c>
      <c r="AE23" s="51">
        <f>IF(AQ23="7",BI23,0)</f>
        <v>0</v>
      </c>
      <c r="AF23" s="51">
        <f>IF(AQ23="2",BH23,0)</f>
        <v>0</v>
      </c>
      <c r="AG23" s="51">
        <f>IF(AQ23="2",BI23,0)</f>
        <v>0</v>
      </c>
      <c r="AH23" s="51">
        <f>IF(AQ23="0",BJ23,0)</f>
        <v>0</v>
      </c>
      <c r="AI23" s="39" t="s">
        <v>132</v>
      </c>
      <c r="AJ23" s="28">
        <f>IF(AN23=0,K23,0)</f>
        <v>0</v>
      </c>
      <c r="AK23" s="28">
        <f>IF(AN23=15,K23,0)</f>
        <v>0</v>
      </c>
      <c r="AL23" s="28">
        <f>IF(AN23=21,K23,0)</f>
        <v>0</v>
      </c>
      <c r="AN23" s="51">
        <v>21</v>
      </c>
      <c r="AO23" s="51">
        <f>H23*0</f>
        <v>0</v>
      </c>
      <c r="AP23" s="51">
        <f>H23*(1-0)</f>
        <v>0</v>
      </c>
      <c r="AQ23" s="52" t="s">
        <v>7</v>
      </c>
      <c r="AV23" s="51">
        <f>AW23+AX23</f>
        <v>0</v>
      </c>
      <c r="AW23" s="51">
        <f>G23*AO23</f>
        <v>0</v>
      </c>
      <c r="AX23" s="51">
        <f>G23*AP23</f>
        <v>0</v>
      </c>
      <c r="AY23" s="54" t="s">
        <v>502</v>
      </c>
      <c r="AZ23" s="54" t="s">
        <v>527</v>
      </c>
      <c r="BA23" s="39" t="s">
        <v>551</v>
      </c>
      <c r="BC23" s="51">
        <f>AW23+AX23</f>
        <v>0</v>
      </c>
      <c r="BD23" s="51">
        <f>H23/(100-BE23)*100</f>
        <v>0</v>
      </c>
      <c r="BE23" s="51">
        <v>0</v>
      </c>
      <c r="BF23" s="51">
        <f>M23</f>
        <v>0</v>
      </c>
      <c r="BH23" s="28">
        <f>G23*AO23</f>
        <v>0</v>
      </c>
      <c r="BI23" s="28">
        <f>G23*AP23</f>
        <v>0</v>
      </c>
      <c r="BJ23" s="28">
        <f>G23*H23</f>
        <v>0</v>
      </c>
      <c r="BK23" s="28" t="s">
        <v>561</v>
      </c>
      <c r="BL23" s="51">
        <v>12</v>
      </c>
    </row>
    <row r="24" spans="1:15" ht="12.75">
      <c r="A24" s="6"/>
      <c r="D24" s="21" t="s">
        <v>268</v>
      </c>
      <c r="E24" s="22"/>
      <c r="G24" s="29">
        <v>600</v>
      </c>
      <c r="N24" s="47"/>
      <c r="O24" s="6"/>
    </row>
    <row r="25" spans="1:15" ht="12.75">
      <c r="A25" s="6"/>
      <c r="D25" s="21" t="s">
        <v>269</v>
      </c>
      <c r="E25" s="22"/>
      <c r="G25" s="29">
        <v>255</v>
      </c>
      <c r="N25" s="47"/>
      <c r="O25" s="6"/>
    </row>
    <row r="26" spans="1:64" ht="12.75">
      <c r="A26" s="5" t="s">
        <v>12</v>
      </c>
      <c r="B26" s="16" t="s">
        <v>132</v>
      </c>
      <c r="C26" s="16" t="s">
        <v>146</v>
      </c>
      <c r="D26" s="161" t="s">
        <v>270</v>
      </c>
      <c r="E26" s="162"/>
      <c r="F26" s="16" t="s">
        <v>459</v>
      </c>
      <c r="G26" s="28">
        <v>22.5</v>
      </c>
      <c r="H26" s="28">
        <v>0</v>
      </c>
      <c r="I26" s="28">
        <f>G26*AO26</f>
        <v>0</v>
      </c>
      <c r="J26" s="28">
        <f>G26*AP26</f>
        <v>0</v>
      </c>
      <c r="K26" s="28">
        <f>G26*H26</f>
        <v>0</v>
      </c>
      <c r="L26" s="28">
        <v>0</v>
      </c>
      <c r="M26" s="28">
        <f>G26*L26</f>
        <v>0</v>
      </c>
      <c r="N26" s="45" t="s">
        <v>484</v>
      </c>
      <c r="O26" s="6"/>
      <c r="Z26" s="51">
        <f>IF(AQ26="5",BJ26,0)</f>
        <v>0</v>
      </c>
      <c r="AB26" s="51">
        <f>IF(AQ26="1",BH26,0)</f>
        <v>0</v>
      </c>
      <c r="AC26" s="51">
        <f>IF(AQ26="1",BI26,0)</f>
        <v>0</v>
      </c>
      <c r="AD26" s="51">
        <f>IF(AQ26="7",BH26,0)</f>
        <v>0</v>
      </c>
      <c r="AE26" s="51">
        <f>IF(AQ26="7",BI26,0)</f>
        <v>0</v>
      </c>
      <c r="AF26" s="51">
        <f>IF(AQ26="2",BH26,0)</f>
        <v>0</v>
      </c>
      <c r="AG26" s="51">
        <f>IF(AQ26="2",BI26,0)</f>
        <v>0</v>
      </c>
      <c r="AH26" s="51">
        <f>IF(AQ26="0",BJ26,0)</f>
        <v>0</v>
      </c>
      <c r="AI26" s="39" t="s">
        <v>132</v>
      </c>
      <c r="AJ26" s="28">
        <f>IF(AN26=0,K26,0)</f>
        <v>0</v>
      </c>
      <c r="AK26" s="28">
        <f>IF(AN26=15,K26,0)</f>
        <v>0</v>
      </c>
      <c r="AL26" s="28">
        <f>IF(AN26=21,K26,0)</f>
        <v>0</v>
      </c>
      <c r="AN26" s="51">
        <v>21</v>
      </c>
      <c r="AO26" s="51">
        <f>H26*0</f>
        <v>0</v>
      </c>
      <c r="AP26" s="51">
        <f>H26*(1-0)</f>
        <v>0</v>
      </c>
      <c r="AQ26" s="52" t="s">
        <v>7</v>
      </c>
      <c r="AV26" s="51">
        <f>AW26+AX26</f>
        <v>0</v>
      </c>
      <c r="AW26" s="51">
        <f>G26*AO26</f>
        <v>0</v>
      </c>
      <c r="AX26" s="51">
        <f>G26*AP26</f>
        <v>0</v>
      </c>
      <c r="AY26" s="54" t="s">
        <v>502</v>
      </c>
      <c r="AZ26" s="54" t="s">
        <v>527</v>
      </c>
      <c r="BA26" s="39" t="s">
        <v>551</v>
      </c>
      <c r="BC26" s="51">
        <f>AW26+AX26</f>
        <v>0</v>
      </c>
      <c r="BD26" s="51">
        <f>H26/(100-BE26)*100</f>
        <v>0</v>
      </c>
      <c r="BE26" s="51">
        <v>0</v>
      </c>
      <c r="BF26" s="51">
        <f>M26</f>
        <v>0</v>
      </c>
      <c r="BH26" s="28">
        <f>G26*AO26</f>
        <v>0</v>
      </c>
      <c r="BI26" s="28">
        <f>G26*AP26</f>
        <v>0</v>
      </c>
      <c r="BJ26" s="28">
        <f>G26*H26</f>
        <v>0</v>
      </c>
      <c r="BK26" s="28" t="s">
        <v>561</v>
      </c>
      <c r="BL26" s="51">
        <v>12</v>
      </c>
    </row>
    <row r="27" spans="1:15" ht="12.75">
      <c r="A27" s="6"/>
      <c r="D27" s="21" t="s">
        <v>271</v>
      </c>
      <c r="E27" s="22"/>
      <c r="G27" s="29">
        <v>22.5</v>
      </c>
      <c r="N27" s="47"/>
      <c r="O27" s="6"/>
    </row>
    <row r="28" spans="1:47" ht="12.75">
      <c r="A28" s="4"/>
      <c r="B28" s="15" t="s">
        <v>132</v>
      </c>
      <c r="C28" s="15" t="s">
        <v>22</v>
      </c>
      <c r="D28" s="166" t="s">
        <v>272</v>
      </c>
      <c r="E28" s="167"/>
      <c r="F28" s="25" t="s">
        <v>6</v>
      </c>
      <c r="G28" s="25" t="s">
        <v>6</v>
      </c>
      <c r="H28" s="25" t="s">
        <v>6</v>
      </c>
      <c r="I28" s="57">
        <f>SUM(I29:I32)</f>
        <v>0</v>
      </c>
      <c r="J28" s="57">
        <f>SUM(J29:J32)</f>
        <v>0</v>
      </c>
      <c r="K28" s="57">
        <f>SUM(K29:K32)</f>
        <v>0</v>
      </c>
      <c r="L28" s="39"/>
      <c r="M28" s="57">
        <f>SUM(M29:M32)</f>
        <v>0</v>
      </c>
      <c r="N28" s="44"/>
      <c r="O28" s="6"/>
      <c r="AI28" s="39" t="s">
        <v>132</v>
      </c>
      <c r="AS28" s="57">
        <f>SUM(AJ29:AJ32)</f>
        <v>0</v>
      </c>
      <c r="AT28" s="57">
        <f>SUM(AK29:AK32)</f>
        <v>0</v>
      </c>
      <c r="AU28" s="57">
        <f>SUM(AL29:AL32)</f>
        <v>0</v>
      </c>
    </row>
    <row r="29" spans="1:64" ht="12.75">
      <c r="A29" s="5" t="s">
        <v>13</v>
      </c>
      <c r="B29" s="16" t="s">
        <v>132</v>
      </c>
      <c r="C29" s="16" t="s">
        <v>147</v>
      </c>
      <c r="D29" s="161" t="s">
        <v>273</v>
      </c>
      <c r="E29" s="162"/>
      <c r="F29" s="16" t="s">
        <v>459</v>
      </c>
      <c r="G29" s="28">
        <v>255</v>
      </c>
      <c r="H29" s="28">
        <v>0</v>
      </c>
      <c r="I29" s="28">
        <f>G29*AO29</f>
        <v>0</v>
      </c>
      <c r="J29" s="28">
        <f>G29*AP29</f>
        <v>0</v>
      </c>
      <c r="K29" s="28">
        <f>G29*H29</f>
        <v>0</v>
      </c>
      <c r="L29" s="28">
        <v>0</v>
      </c>
      <c r="M29" s="28">
        <f>G29*L29</f>
        <v>0</v>
      </c>
      <c r="N29" s="45" t="s">
        <v>484</v>
      </c>
      <c r="O29" s="6"/>
      <c r="Z29" s="51">
        <f>IF(AQ29="5",BJ29,0)</f>
        <v>0</v>
      </c>
      <c r="AB29" s="51">
        <f>IF(AQ29="1",BH29,0)</f>
        <v>0</v>
      </c>
      <c r="AC29" s="51">
        <f>IF(AQ29="1",BI29,0)</f>
        <v>0</v>
      </c>
      <c r="AD29" s="51">
        <f>IF(AQ29="7",BH29,0)</f>
        <v>0</v>
      </c>
      <c r="AE29" s="51">
        <f>IF(AQ29="7",BI29,0)</f>
        <v>0</v>
      </c>
      <c r="AF29" s="51">
        <f>IF(AQ29="2",BH29,0)</f>
        <v>0</v>
      </c>
      <c r="AG29" s="51">
        <f>IF(AQ29="2",BI29,0)</f>
        <v>0</v>
      </c>
      <c r="AH29" s="51">
        <f>IF(AQ29="0",BJ29,0)</f>
        <v>0</v>
      </c>
      <c r="AI29" s="39" t="s">
        <v>132</v>
      </c>
      <c r="AJ29" s="28">
        <f>IF(AN29=0,K29,0)</f>
        <v>0</v>
      </c>
      <c r="AK29" s="28">
        <f>IF(AN29=15,K29,0)</f>
        <v>0</v>
      </c>
      <c r="AL29" s="28">
        <f>IF(AN29=21,K29,0)</f>
        <v>0</v>
      </c>
      <c r="AN29" s="51">
        <v>21</v>
      </c>
      <c r="AO29" s="51">
        <f>H29*0</f>
        <v>0</v>
      </c>
      <c r="AP29" s="51">
        <f>H29*(1-0)</f>
        <v>0</v>
      </c>
      <c r="AQ29" s="52" t="s">
        <v>7</v>
      </c>
      <c r="AV29" s="51">
        <f>AW29+AX29</f>
        <v>0</v>
      </c>
      <c r="AW29" s="51">
        <f>G29*AO29</f>
        <v>0</v>
      </c>
      <c r="AX29" s="51">
        <f>G29*AP29</f>
        <v>0</v>
      </c>
      <c r="AY29" s="54" t="s">
        <v>503</v>
      </c>
      <c r="AZ29" s="54" t="s">
        <v>527</v>
      </c>
      <c r="BA29" s="39" t="s">
        <v>551</v>
      </c>
      <c r="BC29" s="51">
        <f>AW29+AX29</f>
        <v>0</v>
      </c>
      <c r="BD29" s="51">
        <f>H29/(100-BE29)*100</f>
        <v>0</v>
      </c>
      <c r="BE29" s="51">
        <v>0</v>
      </c>
      <c r="BF29" s="51">
        <f>M29</f>
        <v>0</v>
      </c>
      <c r="BH29" s="28">
        <f>G29*AO29</f>
        <v>0</v>
      </c>
      <c r="BI29" s="28">
        <f>G29*AP29</f>
        <v>0</v>
      </c>
      <c r="BJ29" s="28">
        <f>G29*H29</f>
        <v>0</v>
      </c>
      <c r="BK29" s="28" t="s">
        <v>561</v>
      </c>
      <c r="BL29" s="51">
        <v>16</v>
      </c>
    </row>
    <row r="30" spans="1:64" ht="12.75">
      <c r="A30" s="5" t="s">
        <v>14</v>
      </c>
      <c r="B30" s="16" t="s">
        <v>132</v>
      </c>
      <c r="C30" s="16" t="s">
        <v>148</v>
      </c>
      <c r="D30" s="161" t="s">
        <v>274</v>
      </c>
      <c r="E30" s="162"/>
      <c r="F30" s="16" t="s">
        <v>459</v>
      </c>
      <c r="G30" s="28">
        <v>622.5</v>
      </c>
      <c r="H30" s="28">
        <v>0</v>
      </c>
      <c r="I30" s="28">
        <f>G30*AO30</f>
        <v>0</v>
      </c>
      <c r="J30" s="28">
        <f>G30*AP30</f>
        <v>0</v>
      </c>
      <c r="K30" s="28">
        <f>G30*H30</f>
        <v>0</v>
      </c>
      <c r="L30" s="28">
        <v>0</v>
      </c>
      <c r="M30" s="28">
        <f>G30*L30</f>
        <v>0</v>
      </c>
      <c r="N30" s="45" t="s">
        <v>484</v>
      </c>
      <c r="O30" s="6"/>
      <c r="Z30" s="51">
        <f>IF(AQ30="5",BJ30,0)</f>
        <v>0</v>
      </c>
      <c r="AB30" s="51">
        <f>IF(AQ30="1",BH30,0)</f>
        <v>0</v>
      </c>
      <c r="AC30" s="51">
        <f>IF(AQ30="1",BI30,0)</f>
        <v>0</v>
      </c>
      <c r="AD30" s="51">
        <f>IF(AQ30="7",BH30,0)</f>
        <v>0</v>
      </c>
      <c r="AE30" s="51">
        <f>IF(AQ30="7",BI30,0)</f>
        <v>0</v>
      </c>
      <c r="AF30" s="51">
        <f>IF(AQ30="2",BH30,0)</f>
        <v>0</v>
      </c>
      <c r="AG30" s="51">
        <f>IF(AQ30="2",BI30,0)</f>
        <v>0</v>
      </c>
      <c r="AH30" s="51">
        <f>IF(AQ30="0",BJ30,0)</f>
        <v>0</v>
      </c>
      <c r="AI30" s="39" t="s">
        <v>132</v>
      </c>
      <c r="AJ30" s="28">
        <f>IF(AN30=0,K30,0)</f>
        <v>0</v>
      </c>
      <c r="AK30" s="28">
        <f>IF(AN30=15,K30,0)</f>
        <v>0</v>
      </c>
      <c r="AL30" s="28">
        <f>IF(AN30=21,K30,0)</f>
        <v>0</v>
      </c>
      <c r="AN30" s="51">
        <v>21</v>
      </c>
      <c r="AO30" s="51">
        <f>H30*0</f>
        <v>0</v>
      </c>
      <c r="AP30" s="51">
        <f>H30*(1-0)</f>
        <v>0</v>
      </c>
      <c r="AQ30" s="52" t="s">
        <v>7</v>
      </c>
      <c r="AV30" s="51">
        <f>AW30+AX30</f>
        <v>0</v>
      </c>
      <c r="AW30" s="51">
        <f>G30*AO30</f>
        <v>0</v>
      </c>
      <c r="AX30" s="51">
        <f>G30*AP30</f>
        <v>0</v>
      </c>
      <c r="AY30" s="54" t="s">
        <v>503</v>
      </c>
      <c r="AZ30" s="54" t="s">
        <v>527</v>
      </c>
      <c r="BA30" s="39" t="s">
        <v>551</v>
      </c>
      <c r="BC30" s="51">
        <f>AW30+AX30</f>
        <v>0</v>
      </c>
      <c r="BD30" s="51">
        <f>H30/(100-BE30)*100</f>
        <v>0</v>
      </c>
      <c r="BE30" s="51">
        <v>0</v>
      </c>
      <c r="BF30" s="51">
        <f>M30</f>
        <v>0</v>
      </c>
      <c r="BH30" s="28">
        <f>G30*AO30</f>
        <v>0</v>
      </c>
      <c r="BI30" s="28">
        <f>G30*AP30</f>
        <v>0</v>
      </c>
      <c r="BJ30" s="28">
        <f>G30*H30</f>
        <v>0</v>
      </c>
      <c r="BK30" s="28" t="s">
        <v>561</v>
      </c>
      <c r="BL30" s="51">
        <v>16</v>
      </c>
    </row>
    <row r="31" spans="1:15" ht="12.75">
      <c r="A31" s="6"/>
      <c r="D31" s="21" t="s">
        <v>275</v>
      </c>
      <c r="E31" s="22"/>
      <c r="G31" s="29">
        <v>622.5</v>
      </c>
      <c r="N31" s="47"/>
      <c r="O31" s="6"/>
    </row>
    <row r="32" spans="1:64" ht="12.75">
      <c r="A32" s="5" t="s">
        <v>15</v>
      </c>
      <c r="B32" s="16" t="s">
        <v>132</v>
      </c>
      <c r="C32" s="16" t="s">
        <v>149</v>
      </c>
      <c r="D32" s="161" t="s">
        <v>276</v>
      </c>
      <c r="E32" s="162"/>
      <c r="F32" s="16" t="s">
        <v>459</v>
      </c>
      <c r="G32" s="28">
        <v>3112.5</v>
      </c>
      <c r="H32" s="28">
        <v>0</v>
      </c>
      <c r="I32" s="28">
        <f>G32*AO32</f>
        <v>0</v>
      </c>
      <c r="J32" s="28">
        <f>G32*AP32</f>
        <v>0</v>
      </c>
      <c r="K32" s="28">
        <f>G32*H32</f>
        <v>0</v>
      </c>
      <c r="L32" s="28">
        <v>0</v>
      </c>
      <c r="M32" s="28">
        <f>G32*L32</f>
        <v>0</v>
      </c>
      <c r="N32" s="45" t="s">
        <v>484</v>
      </c>
      <c r="O32" s="6"/>
      <c r="Z32" s="51">
        <f>IF(AQ32="5",BJ32,0)</f>
        <v>0</v>
      </c>
      <c r="AB32" s="51">
        <f>IF(AQ32="1",BH32,0)</f>
        <v>0</v>
      </c>
      <c r="AC32" s="51">
        <f>IF(AQ32="1",BI32,0)</f>
        <v>0</v>
      </c>
      <c r="AD32" s="51">
        <f>IF(AQ32="7",BH32,0)</f>
        <v>0</v>
      </c>
      <c r="AE32" s="51">
        <f>IF(AQ32="7",BI32,0)</f>
        <v>0</v>
      </c>
      <c r="AF32" s="51">
        <f>IF(AQ32="2",BH32,0)</f>
        <v>0</v>
      </c>
      <c r="AG32" s="51">
        <f>IF(AQ32="2",BI32,0)</f>
        <v>0</v>
      </c>
      <c r="AH32" s="51">
        <f>IF(AQ32="0",BJ32,0)</f>
        <v>0</v>
      </c>
      <c r="AI32" s="39" t="s">
        <v>132</v>
      </c>
      <c r="AJ32" s="28">
        <f>IF(AN32=0,K32,0)</f>
        <v>0</v>
      </c>
      <c r="AK32" s="28">
        <f>IF(AN32=15,K32,0)</f>
        <v>0</v>
      </c>
      <c r="AL32" s="28">
        <f>IF(AN32=21,K32,0)</f>
        <v>0</v>
      </c>
      <c r="AN32" s="51">
        <v>21</v>
      </c>
      <c r="AO32" s="51">
        <f>H32*0</f>
        <v>0</v>
      </c>
      <c r="AP32" s="51">
        <f>H32*(1-0)</f>
        <v>0</v>
      </c>
      <c r="AQ32" s="52" t="s">
        <v>7</v>
      </c>
      <c r="AV32" s="51">
        <f>AW32+AX32</f>
        <v>0</v>
      </c>
      <c r="AW32" s="51">
        <f>G32*AO32</f>
        <v>0</v>
      </c>
      <c r="AX32" s="51">
        <f>G32*AP32</f>
        <v>0</v>
      </c>
      <c r="AY32" s="54" t="s">
        <v>503</v>
      </c>
      <c r="AZ32" s="54" t="s">
        <v>527</v>
      </c>
      <c r="BA32" s="39" t="s">
        <v>551</v>
      </c>
      <c r="BC32" s="51">
        <f>AW32+AX32</f>
        <v>0</v>
      </c>
      <c r="BD32" s="51">
        <f>H32/(100-BE32)*100</f>
        <v>0</v>
      </c>
      <c r="BE32" s="51">
        <v>0</v>
      </c>
      <c r="BF32" s="51">
        <f>M32</f>
        <v>0</v>
      </c>
      <c r="BH32" s="28">
        <f>G32*AO32</f>
        <v>0</v>
      </c>
      <c r="BI32" s="28">
        <f>G32*AP32</f>
        <v>0</v>
      </c>
      <c r="BJ32" s="28">
        <f>G32*H32</f>
        <v>0</v>
      </c>
      <c r="BK32" s="28" t="s">
        <v>561</v>
      </c>
      <c r="BL32" s="51">
        <v>16</v>
      </c>
    </row>
    <row r="33" spans="1:15" ht="12.75">
      <c r="A33" s="6"/>
      <c r="D33" s="21" t="s">
        <v>277</v>
      </c>
      <c r="E33" s="22"/>
      <c r="G33" s="29">
        <v>3112.5</v>
      </c>
      <c r="N33" s="47"/>
      <c r="O33" s="6"/>
    </row>
    <row r="34" spans="1:47" ht="12.75">
      <c r="A34" s="4"/>
      <c r="B34" s="15" t="s">
        <v>132</v>
      </c>
      <c r="C34" s="15" t="s">
        <v>23</v>
      </c>
      <c r="D34" s="166" t="s">
        <v>278</v>
      </c>
      <c r="E34" s="167"/>
      <c r="F34" s="25" t="s">
        <v>6</v>
      </c>
      <c r="G34" s="25" t="s">
        <v>6</v>
      </c>
      <c r="H34" s="25" t="s">
        <v>6</v>
      </c>
      <c r="I34" s="57">
        <f>SUM(I35:I35)</f>
        <v>0</v>
      </c>
      <c r="J34" s="57">
        <f>SUM(J35:J35)</f>
        <v>0</v>
      </c>
      <c r="K34" s="57">
        <f>SUM(K35:K35)</f>
        <v>0</v>
      </c>
      <c r="L34" s="39"/>
      <c r="M34" s="57">
        <f>SUM(M35:M35)</f>
        <v>0</v>
      </c>
      <c r="N34" s="44"/>
      <c r="O34" s="6"/>
      <c r="AI34" s="39" t="s">
        <v>132</v>
      </c>
      <c r="AS34" s="57">
        <f>SUM(AJ35:AJ35)</f>
        <v>0</v>
      </c>
      <c r="AT34" s="57">
        <f>SUM(AK35:AK35)</f>
        <v>0</v>
      </c>
      <c r="AU34" s="57">
        <f>SUM(AL35:AL35)</f>
        <v>0</v>
      </c>
    </row>
    <row r="35" spans="1:64" ht="12.75">
      <c r="A35" s="5" t="s">
        <v>16</v>
      </c>
      <c r="B35" s="16" t="s">
        <v>132</v>
      </c>
      <c r="C35" s="16" t="s">
        <v>150</v>
      </c>
      <c r="D35" s="161" t="s">
        <v>279</v>
      </c>
      <c r="E35" s="162"/>
      <c r="F35" s="16" t="s">
        <v>459</v>
      </c>
      <c r="G35" s="28">
        <v>255</v>
      </c>
      <c r="H35" s="28">
        <v>0</v>
      </c>
      <c r="I35" s="28">
        <f>G35*AO35</f>
        <v>0</v>
      </c>
      <c r="J35" s="28">
        <f>G35*AP35</f>
        <v>0</v>
      </c>
      <c r="K35" s="28">
        <f>G35*H35</f>
        <v>0</v>
      </c>
      <c r="L35" s="28">
        <v>0</v>
      </c>
      <c r="M35" s="28">
        <f>G35*L35</f>
        <v>0</v>
      </c>
      <c r="N35" s="45" t="s">
        <v>484</v>
      </c>
      <c r="O35" s="6"/>
      <c r="Z35" s="51">
        <f>IF(AQ35="5",BJ35,0)</f>
        <v>0</v>
      </c>
      <c r="AB35" s="51">
        <f>IF(AQ35="1",BH35,0)</f>
        <v>0</v>
      </c>
      <c r="AC35" s="51">
        <f>IF(AQ35="1",BI35,0)</f>
        <v>0</v>
      </c>
      <c r="AD35" s="51">
        <f>IF(AQ35="7",BH35,0)</f>
        <v>0</v>
      </c>
      <c r="AE35" s="51">
        <f>IF(AQ35="7",BI35,0)</f>
        <v>0</v>
      </c>
      <c r="AF35" s="51">
        <f>IF(AQ35="2",BH35,0)</f>
        <v>0</v>
      </c>
      <c r="AG35" s="51">
        <f>IF(AQ35="2",BI35,0)</f>
        <v>0</v>
      </c>
      <c r="AH35" s="51">
        <f>IF(AQ35="0",BJ35,0)</f>
        <v>0</v>
      </c>
      <c r="AI35" s="39" t="s">
        <v>132</v>
      </c>
      <c r="AJ35" s="28">
        <f>IF(AN35=0,K35,0)</f>
        <v>0</v>
      </c>
      <c r="AK35" s="28">
        <f>IF(AN35=15,K35,0)</f>
        <v>0</v>
      </c>
      <c r="AL35" s="28">
        <f>IF(AN35=21,K35,0)</f>
        <v>0</v>
      </c>
      <c r="AN35" s="51">
        <v>21</v>
      </c>
      <c r="AO35" s="51">
        <f>H35*0</f>
        <v>0</v>
      </c>
      <c r="AP35" s="51">
        <f>H35*(1-0)</f>
        <v>0</v>
      </c>
      <c r="AQ35" s="52" t="s">
        <v>7</v>
      </c>
      <c r="AV35" s="51">
        <f>AW35+AX35</f>
        <v>0</v>
      </c>
      <c r="AW35" s="51">
        <f>G35*AO35</f>
        <v>0</v>
      </c>
      <c r="AX35" s="51">
        <f>G35*AP35</f>
        <v>0</v>
      </c>
      <c r="AY35" s="54" t="s">
        <v>504</v>
      </c>
      <c r="AZ35" s="54" t="s">
        <v>527</v>
      </c>
      <c r="BA35" s="39" t="s">
        <v>551</v>
      </c>
      <c r="BC35" s="51">
        <f>AW35+AX35</f>
        <v>0</v>
      </c>
      <c r="BD35" s="51">
        <f>H35/(100-BE35)*100</f>
        <v>0</v>
      </c>
      <c r="BE35" s="51">
        <v>0</v>
      </c>
      <c r="BF35" s="51">
        <f>M35</f>
        <v>0</v>
      </c>
      <c r="BH35" s="28">
        <f>G35*AO35</f>
        <v>0</v>
      </c>
      <c r="BI35" s="28">
        <f>G35*AP35</f>
        <v>0</v>
      </c>
      <c r="BJ35" s="28">
        <f>G35*H35</f>
        <v>0</v>
      </c>
      <c r="BK35" s="28" t="s">
        <v>561</v>
      </c>
      <c r="BL35" s="51">
        <v>17</v>
      </c>
    </row>
    <row r="36" spans="1:47" ht="12.75">
      <c r="A36" s="4"/>
      <c r="B36" s="15" t="s">
        <v>132</v>
      </c>
      <c r="C36" s="15" t="s">
        <v>24</v>
      </c>
      <c r="D36" s="166" t="s">
        <v>280</v>
      </c>
      <c r="E36" s="167"/>
      <c r="F36" s="25" t="s">
        <v>6</v>
      </c>
      <c r="G36" s="25" t="s">
        <v>6</v>
      </c>
      <c r="H36" s="25" t="s">
        <v>6</v>
      </c>
      <c r="I36" s="57">
        <f>SUM(I37:I39)</f>
        <v>0</v>
      </c>
      <c r="J36" s="57">
        <f>SUM(J37:J39)</f>
        <v>0</v>
      </c>
      <c r="K36" s="57">
        <f>SUM(K37:K39)</f>
        <v>0</v>
      </c>
      <c r="L36" s="39"/>
      <c r="M36" s="57">
        <f>SUM(M37:M39)</f>
        <v>0</v>
      </c>
      <c r="N36" s="44"/>
      <c r="O36" s="6"/>
      <c r="AI36" s="39" t="s">
        <v>132</v>
      </c>
      <c r="AS36" s="57">
        <f>SUM(AJ37:AJ39)</f>
        <v>0</v>
      </c>
      <c r="AT36" s="57">
        <f>SUM(AK37:AK39)</f>
        <v>0</v>
      </c>
      <c r="AU36" s="57">
        <f>SUM(AL37:AL39)</f>
        <v>0</v>
      </c>
    </row>
    <row r="37" spans="1:64" ht="12.75">
      <c r="A37" s="5" t="s">
        <v>17</v>
      </c>
      <c r="B37" s="16" t="s">
        <v>132</v>
      </c>
      <c r="C37" s="16" t="s">
        <v>151</v>
      </c>
      <c r="D37" s="161" t="s">
        <v>281</v>
      </c>
      <c r="E37" s="162"/>
      <c r="F37" s="16" t="s">
        <v>460</v>
      </c>
      <c r="G37" s="28">
        <v>4000</v>
      </c>
      <c r="H37" s="28">
        <v>0</v>
      </c>
      <c r="I37" s="28">
        <f>G37*AO37</f>
        <v>0</v>
      </c>
      <c r="J37" s="28">
        <f>G37*AP37</f>
        <v>0</v>
      </c>
      <c r="K37" s="28">
        <f>G37*H37</f>
        <v>0</v>
      </c>
      <c r="L37" s="28">
        <v>0</v>
      </c>
      <c r="M37" s="28">
        <f>G37*L37</f>
        <v>0</v>
      </c>
      <c r="N37" s="45" t="s">
        <v>484</v>
      </c>
      <c r="O37" s="6"/>
      <c r="Z37" s="51">
        <f>IF(AQ37="5",BJ37,0)</f>
        <v>0</v>
      </c>
      <c r="AB37" s="51">
        <f>IF(AQ37="1",BH37,0)</f>
        <v>0</v>
      </c>
      <c r="AC37" s="51">
        <f>IF(AQ37="1",BI37,0)</f>
        <v>0</v>
      </c>
      <c r="AD37" s="51">
        <f>IF(AQ37="7",BH37,0)</f>
        <v>0</v>
      </c>
      <c r="AE37" s="51">
        <f>IF(AQ37="7",BI37,0)</f>
        <v>0</v>
      </c>
      <c r="AF37" s="51">
        <f>IF(AQ37="2",BH37,0)</f>
        <v>0</v>
      </c>
      <c r="AG37" s="51">
        <f>IF(AQ37="2",BI37,0)</f>
        <v>0</v>
      </c>
      <c r="AH37" s="51">
        <f>IF(AQ37="0",BJ37,0)</f>
        <v>0</v>
      </c>
      <c r="AI37" s="39" t="s">
        <v>132</v>
      </c>
      <c r="AJ37" s="28">
        <f>IF(AN37=0,K37,0)</f>
        <v>0</v>
      </c>
      <c r="AK37" s="28">
        <f>IF(AN37=15,K37,0)</f>
        <v>0</v>
      </c>
      <c r="AL37" s="28">
        <f>IF(AN37=21,K37,0)</f>
        <v>0</v>
      </c>
      <c r="AN37" s="51">
        <v>21</v>
      </c>
      <c r="AO37" s="51">
        <f>H37*0</f>
        <v>0</v>
      </c>
      <c r="AP37" s="51">
        <f>H37*(1-0)</f>
        <v>0</v>
      </c>
      <c r="AQ37" s="52" t="s">
        <v>7</v>
      </c>
      <c r="AV37" s="51">
        <f>AW37+AX37</f>
        <v>0</v>
      </c>
      <c r="AW37" s="51">
        <f>G37*AO37</f>
        <v>0</v>
      </c>
      <c r="AX37" s="51">
        <f>G37*AP37</f>
        <v>0</v>
      </c>
      <c r="AY37" s="54" t="s">
        <v>505</v>
      </c>
      <c r="AZ37" s="54" t="s">
        <v>527</v>
      </c>
      <c r="BA37" s="39" t="s">
        <v>551</v>
      </c>
      <c r="BC37" s="51">
        <f>AW37+AX37</f>
        <v>0</v>
      </c>
      <c r="BD37" s="51">
        <f>H37/(100-BE37)*100</f>
        <v>0</v>
      </c>
      <c r="BE37" s="51">
        <v>0</v>
      </c>
      <c r="BF37" s="51">
        <f>M37</f>
        <v>0</v>
      </c>
      <c r="BH37" s="28">
        <f>G37*AO37</f>
        <v>0</v>
      </c>
      <c r="BI37" s="28">
        <f>G37*AP37</f>
        <v>0</v>
      </c>
      <c r="BJ37" s="28">
        <f>G37*H37</f>
        <v>0</v>
      </c>
      <c r="BK37" s="28" t="s">
        <v>561</v>
      </c>
      <c r="BL37" s="51">
        <v>18</v>
      </c>
    </row>
    <row r="38" spans="1:64" ht="12.75">
      <c r="A38" s="5" t="s">
        <v>18</v>
      </c>
      <c r="B38" s="16" t="s">
        <v>132</v>
      </c>
      <c r="C38" s="16" t="s">
        <v>152</v>
      </c>
      <c r="D38" s="161" t="s">
        <v>282</v>
      </c>
      <c r="E38" s="162"/>
      <c r="F38" s="16" t="s">
        <v>460</v>
      </c>
      <c r="G38" s="28">
        <v>1000</v>
      </c>
      <c r="H38" s="28">
        <v>0</v>
      </c>
      <c r="I38" s="28">
        <f>G38*AO38</f>
        <v>0</v>
      </c>
      <c r="J38" s="28">
        <f>G38*AP38</f>
        <v>0</v>
      </c>
      <c r="K38" s="28">
        <f>G38*H38</f>
        <v>0</v>
      </c>
      <c r="L38" s="28">
        <v>0</v>
      </c>
      <c r="M38" s="28">
        <f>G38*L38</f>
        <v>0</v>
      </c>
      <c r="N38" s="45" t="s">
        <v>484</v>
      </c>
      <c r="O38" s="6"/>
      <c r="Z38" s="51">
        <f>IF(AQ38="5",BJ38,0)</f>
        <v>0</v>
      </c>
      <c r="AB38" s="51">
        <f>IF(AQ38="1",BH38,0)</f>
        <v>0</v>
      </c>
      <c r="AC38" s="51">
        <f>IF(AQ38="1",BI38,0)</f>
        <v>0</v>
      </c>
      <c r="AD38" s="51">
        <f>IF(AQ38="7",BH38,0)</f>
        <v>0</v>
      </c>
      <c r="AE38" s="51">
        <f>IF(AQ38="7",BI38,0)</f>
        <v>0</v>
      </c>
      <c r="AF38" s="51">
        <f>IF(AQ38="2",BH38,0)</f>
        <v>0</v>
      </c>
      <c r="AG38" s="51">
        <f>IF(AQ38="2",BI38,0)</f>
        <v>0</v>
      </c>
      <c r="AH38" s="51">
        <f>IF(AQ38="0",BJ38,0)</f>
        <v>0</v>
      </c>
      <c r="AI38" s="39" t="s">
        <v>132</v>
      </c>
      <c r="AJ38" s="28">
        <f>IF(AN38=0,K38,0)</f>
        <v>0</v>
      </c>
      <c r="AK38" s="28">
        <f>IF(AN38=15,K38,0)</f>
        <v>0</v>
      </c>
      <c r="AL38" s="28">
        <f>IF(AN38=21,K38,0)</f>
        <v>0</v>
      </c>
      <c r="AN38" s="51">
        <v>21</v>
      </c>
      <c r="AO38" s="51">
        <f>H38*0</f>
        <v>0</v>
      </c>
      <c r="AP38" s="51">
        <f>H38*(1-0)</f>
        <v>0</v>
      </c>
      <c r="AQ38" s="52" t="s">
        <v>7</v>
      </c>
      <c r="AV38" s="51">
        <f>AW38+AX38</f>
        <v>0</v>
      </c>
      <c r="AW38" s="51">
        <f>G38*AO38</f>
        <v>0</v>
      </c>
      <c r="AX38" s="51">
        <f>G38*AP38</f>
        <v>0</v>
      </c>
      <c r="AY38" s="54" t="s">
        <v>505</v>
      </c>
      <c r="AZ38" s="54" t="s">
        <v>527</v>
      </c>
      <c r="BA38" s="39" t="s">
        <v>551</v>
      </c>
      <c r="BC38" s="51">
        <f>AW38+AX38</f>
        <v>0</v>
      </c>
      <c r="BD38" s="51">
        <f>H38/(100-BE38)*100</f>
        <v>0</v>
      </c>
      <c r="BE38" s="51">
        <v>0</v>
      </c>
      <c r="BF38" s="51">
        <f>M38</f>
        <v>0</v>
      </c>
      <c r="BH38" s="28">
        <f>G38*AO38</f>
        <v>0</v>
      </c>
      <c r="BI38" s="28">
        <f>G38*AP38</f>
        <v>0</v>
      </c>
      <c r="BJ38" s="28">
        <f>G38*H38</f>
        <v>0</v>
      </c>
      <c r="BK38" s="28" t="s">
        <v>561</v>
      </c>
      <c r="BL38" s="51">
        <v>18</v>
      </c>
    </row>
    <row r="39" spans="1:64" ht="12.75">
      <c r="A39" s="5" t="s">
        <v>19</v>
      </c>
      <c r="B39" s="16" t="s">
        <v>132</v>
      </c>
      <c r="C39" s="16" t="s">
        <v>153</v>
      </c>
      <c r="D39" s="161" t="s">
        <v>283</v>
      </c>
      <c r="E39" s="162"/>
      <c r="F39" s="16" t="s">
        <v>460</v>
      </c>
      <c r="G39" s="28">
        <v>1000</v>
      </c>
      <c r="H39" s="28">
        <v>0</v>
      </c>
      <c r="I39" s="28">
        <f>G39*AO39</f>
        <v>0</v>
      </c>
      <c r="J39" s="28">
        <f>G39*AP39</f>
        <v>0</v>
      </c>
      <c r="K39" s="28">
        <f>G39*H39</f>
        <v>0</v>
      </c>
      <c r="L39" s="28">
        <v>0</v>
      </c>
      <c r="M39" s="28">
        <f>G39*L39</f>
        <v>0</v>
      </c>
      <c r="N39" s="45" t="s">
        <v>484</v>
      </c>
      <c r="O39" s="6"/>
      <c r="Z39" s="51">
        <f>IF(AQ39="5",BJ39,0)</f>
        <v>0</v>
      </c>
      <c r="AB39" s="51">
        <f>IF(AQ39="1",BH39,0)</f>
        <v>0</v>
      </c>
      <c r="AC39" s="51">
        <f>IF(AQ39="1",BI39,0)</f>
        <v>0</v>
      </c>
      <c r="AD39" s="51">
        <f>IF(AQ39="7",BH39,0)</f>
        <v>0</v>
      </c>
      <c r="AE39" s="51">
        <f>IF(AQ39="7",BI39,0)</f>
        <v>0</v>
      </c>
      <c r="AF39" s="51">
        <f>IF(AQ39="2",BH39,0)</f>
        <v>0</v>
      </c>
      <c r="AG39" s="51">
        <f>IF(AQ39="2",BI39,0)</f>
        <v>0</v>
      </c>
      <c r="AH39" s="51">
        <f>IF(AQ39="0",BJ39,0)</f>
        <v>0</v>
      </c>
      <c r="AI39" s="39" t="s">
        <v>132</v>
      </c>
      <c r="AJ39" s="28">
        <f>IF(AN39=0,K39,0)</f>
        <v>0</v>
      </c>
      <c r="AK39" s="28">
        <f>IF(AN39=15,K39,0)</f>
        <v>0</v>
      </c>
      <c r="AL39" s="28">
        <f>IF(AN39=21,K39,0)</f>
        <v>0</v>
      </c>
      <c r="AN39" s="51">
        <v>21</v>
      </c>
      <c r="AO39" s="51">
        <f>H39*0.0350515463917526</f>
        <v>0</v>
      </c>
      <c r="AP39" s="51">
        <f>H39*(1-0.0350515463917526)</f>
        <v>0</v>
      </c>
      <c r="AQ39" s="52" t="s">
        <v>7</v>
      </c>
      <c r="AV39" s="51">
        <f>AW39+AX39</f>
        <v>0</v>
      </c>
      <c r="AW39" s="51">
        <f>G39*AO39</f>
        <v>0</v>
      </c>
      <c r="AX39" s="51">
        <f>G39*AP39</f>
        <v>0</v>
      </c>
      <c r="AY39" s="54" t="s">
        <v>505</v>
      </c>
      <c r="AZ39" s="54" t="s">
        <v>527</v>
      </c>
      <c r="BA39" s="39" t="s">
        <v>551</v>
      </c>
      <c r="BC39" s="51">
        <f>AW39+AX39</f>
        <v>0</v>
      </c>
      <c r="BD39" s="51">
        <f>H39/(100-BE39)*100</f>
        <v>0</v>
      </c>
      <c r="BE39" s="51">
        <v>0</v>
      </c>
      <c r="BF39" s="51">
        <f>M39</f>
        <v>0</v>
      </c>
      <c r="BH39" s="28">
        <f>G39*AO39</f>
        <v>0</v>
      </c>
      <c r="BI39" s="28">
        <f>G39*AP39</f>
        <v>0</v>
      </c>
      <c r="BJ39" s="28">
        <f>G39*H39</f>
        <v>0</v>
      </c>
      <c r="BK39" s="28" t="s">
        <v>561</v>
      </c>
      <c r="BL39" s="51">
        <v>18</v>
      </c>
    </row>
    <row r="40" spans="1:47" ht="12.75">
      <c r="A40" s="4"/>
      <c r="B40" s="15" t="s">
        <v>132</v>
      </c>
      <c r="C40" s="15" t="s">
        <v>27</v>
      </c>
      <c r="D40" s="166" t="s">
        <v>284</v>
      </c>
      <c r="E40" s="167"/>
      <c r="F40" s="25" t="s">
        <v>6</v>
      </c>
      <c r="G40" s="25" t="s">
        <v>6</v>
      </c>
      <c r="H40" s="25" t="s">
        <v>6</v>
      </c>
      <c r="I40" s="57">
        <f>SUM(I41:I43)</f>
        <v>0</v>
      </c>
      <c r="J40" s="57">
        <f>SUM(J41:J43)</f>
        <v>0</v>
      </c>
      <c r="K40" s="57">
        <f>SUM(K41:K43)</f>
        <v>0</v>
      </c>
      <c r="L40" s="39"/>
      <c r="M40" s="57">
        <f>SUM(M41:M43)</f>
        <v>36.7074</v>
      </c>
      <c r="N40" s="44"/>
      <c r="O40" s="6"/>
      <c r="AI40" s="39" t="s">
        <v>132</v>
      </c>
      <c r="AS40" s="57">
        <f>SUM(AJ41:AJ43)</f>
        <v>0</v>
      </c>
      <c r="AT40" s="57">
        <f>SUM(AK41:AK43)</f>
        <v>0</v>
      </c>
      <c r="AU40" s="57">
        <f>SUM(AL41:AL43)</f>
        <v>0</v>
      </c>
    </row>
    <row r="41" spans="1:64" ht="12.75">
      <c r="A41" s="5" t="s">
        <v>20</v>
      </c>
      <c r="B41" s="16" t="s">
        <v>132</v>
      </c>
      <c r="C41" s="16" t="s">
        <v>154</v>
      </c>
      <c r="D41" s="161" t="s">
        <v>285</v>
      </c>
      <c r="E41" s="162"/>
      <c r="F41" s="16" t="s">
        <v>459</v>
      </c>
      <c r="G41" s="28">
        <v>22.5</v>
      </c>
      <c r="H41" s="28">
        <v>0</v>
      </c>
      <c r="I41" s="28">
        <f>G41*AO41</f>
        <v>0</v>
      </c>
      <c r="J41" s="28">
        <f>G41*AP41</f>
        <v>0</v>
      </c>
      <c r="K41" s="28">
        <f>G41*H41</f>
        <v>0</v>
      </c>
      <c r="L41" s="28">
        <v>1.63</v>
      </c>
      <c r="M41" s="28">
        <f>G41*L41</f>
        <v>36.675</v>
      </c>
      <c r="N41" s="45" t="s">
        <v>484</v>
      </c>
      <c r="O41" s="6"/>
      <c r="Z41" s="51">
        <f>IF(AQ41="5",BJ41,0)</f>
        <v>0</v>
      </c>
      <c r="AB41" s="51">
        <f>IF(AQ41="1",BH41,0)</f>
        <v>0</v>
      </c>
      <c r="AC41" s="51">
        <f>IF(AQ41="1",BI41,0)</f>
        <v>0</v>
      </c>
      <c r="AD41" s="51">
        <f>IF(AQ41="7",BH41,0)</f>
        <v>0</v>
      </c>
      <c r="AE41" s="51">
        <f>IF(AQ41="7",BI41,0)</f>
        <v>0</v>
      </c>
      <c r="AF41" s="51">
        <f>IF(AQ41="2",BH41,0)</f>
        <v>0</v>
      </c>
      <c r="AG41" s="51">
        <f>IF(AQ41="2",BI41,0)</f>
        <v>0</v>
      </c>
      <c r="AH41" s="51">
        <f>IF(AQ41="0",BJ41,0)</f>
        <v>0</v>
      </c>
      <c r="AI41" s="39" t="s">
        <v>132</v>
      </c>
      <c r="AJ41" s="28">
        <f>IF(AN41=0,K41,0)</f>
        <v>0</v>
      </c>
      <c r="AK41" s="28">
        <f>IF(AN41=15,K41,0)</f>
        <v>0</v>
      </c>
      <c r="AL41" s="28">
        <f>IF(AN41=21,K41,0)</f>
        <v>0</v>
      </c>
      <c r="AN41" s="51">
        <v>21</v>
      </c>
      <c r="AO41" s="51">
        <f>H41*0.595663525485245</f>
        <v>0</v>
      </c>
      <c r="AP41" s="51">
        <f>H41*(1-0.595663525485245)</f>
        <v>0</v>
      </c>
      <c r="AQ41" s="52" t="s">
        <v>7</v>
      </c>
      <c r="AV41" s="51">
        <f>AW41+AX41</f>
        <v>0</v>
      </c>
      <c r="AW41" s="51">
        <f>G41*AO41</f>
        <v>0</v>
      </c>
      <c r="AX41" s="51">
        <f>G41*AP41</f>
        <v>0</v>
      </c>
      <c r="AY41" s="54" t="s">
        <v>506</v>
      </c>
      <c r="AZ41" s="54" t="s">
        <v>528</v>
      </c>
      <c r="BA41" s="39" t="s">
        <v>551</v>
      </c>
      <c r="BC41" s="51">
        <f>AW41+AX41</f>
        <v>0</v>
      </c>
      <c r="BD41" s="51">
        <f>H41/(100-BE41)*100</f>
        <v>0</v>
      </c>
      <c r="BE41" s="51">
        <v>0</v>
      </c>
      <c r="BF41" s="51">
        <f>M41</f>
        <v>36.675</v>
      </c>
      <c r="BH41" s="28">
        <f>G41*AO41</f>
        <v>0</v>
      </c>
      <c r="BI41" s="28">
        <f>G41*AP41</f>
        <v>0</v>
      </c>
      <c r="BJ41" s="28">
        <f>G41*H41</f>
        <v>0</v>
      </c>
      <c r="BK41" s="28" t="s">
        <v>561</v>
      </c>
      <c r="BL41" s="51">
        <v>21</v>
      </c>
    </row>
    <row r="42" spans="1:15" ht="12.75">
      <c r="A42" s="6"/>
      <c r="D42" s="21" t="s">
        <v>271</v>
      </c>
      <c r="E42" s="22"/>
      <c r="G42" s="29">
        <v>22.5</v>
      </c>
      <c r="N42" s="47"/>
      <c r="O42" s="6"/>
    </row>
    <row r="43" spans="1:64" ht="12.75">
      <c r="A43" s="5" t="s">
        <v>21</v>
      </c>
      <c r="B43" s="16" t="s">
        <v>132</v>
      </c>
      <c r="C43" s="16" t="s">
        <v>155</v>
      </c>
      <c r="D43" s="161" t="s">
        <v>286</v>
      </c>
      <c r="E43" s="162"/>
      <c r="F43" s="16" t="s">
        <v>460</v>
      </c>
      <c r="G43" s="28">
        <v>180</v>
      </c>
      <c r="H43" s="28">
        <v>0</v>
      </c>
      <c r="I43" s="28">
        <f>G43*AO43</f>
        <v>0</v>
      </c>
      <c r="J43" s="28">
        <f>G43*AP43</f>
        <v>0</v>
      </c>
      <c r="K43" s="28">
        <f>G43*H43</f>
        <v>0</v>
      </c>
      <c r="L43" s="28">
        <v>0.00018</v>
      </c>
      <c r="M43" s="28">
        <f>G43*L43</f>
        <v>0.032400000000000005</v>
      </c>
      <c r="N43" s="45" t="s">
        <v>484</v>
      </c>
      <c r="O43" s="6"/>
      <c r="Z43" s="51">
        <f>IF(AQ43="5",BJ43,0)</f>
        <v>0</v>
      </c>
      <c r="AB43" s="51">
        <f>IF(AQ43="1",BH43,0)</f>
        <v>0</v>
      </c>
      <c r="AC43" s="51">
        <f>IF(AQ43="1",BI43,0)</f>
        <v>0</v>
      </c>
      <c r="AD43" s="51">
        <f>IF(AQ43="7",BH43,0)</f>
        <v>0</v>
      </c>
      <c r="AE43" s="51">
        <f>IF(AQ43="7",BI43,0)</f>
        <v>0</v>
      </c>
      <c r="AF43" s="51">
        <f>IF(AQ43="2",BH43,0)</f>
        <v>0</v>
      </c>
      <c r="AG43" s="51">
        <f>IF(AQ43="2",BI43,0)</f>
        <v>0</v>
      </c>
      <c r="AH43" s="51">
        <f>IF(AQ43="0",BJ43,0)</f>
        <v>0</v>
      </c>
      <c r="AI43" s="39" t="s">
        <v>132</v>
      </c>
      <c r="AJ43" s="28">
        <f>IF(AN43=0,K43,0)</f>
        <v>0</v>
      </c>
      <c r="AK43" s="28">
        <f>IF(AN43=15,K43,0)</f>
        <v>0</v>
      </c>
      <c r="AL43" s="28">
        <f>IF(AN43=21,K43,0)</f>
        <v>0</v>
      </c>
      <c r="AN43" s="51">
        <v>21</v>
      </c>
      <c r="AO43" s="51">
        <f>H43*0.0962708278233272</f>
        <v>0</v>
      </c>
      <c r="AP43" s="51">
        <f>H43*(1-0.0962708278233272)</f>
        <v>0</v>
      </c>
      <c r="AQ43" s="52" t="s">
        <v>7</v>
      </c>
      <c r="AV43" s="51">
        <f>AW43+AX43</f>
        <v>0</v>
      </c>
      <c r="AW43" s="51">
        <f>G43*AO43</f>
        <v>0</v>
      </c>
      <c r="AX43" s="51">
        <f>G43*AP43</f>
        <v>0</v>
      </c>
      <c r="AY43" s="54" t="s">
        <v>506</v>
      </c>
      <c r="AZ43" s="54" t="s">
        <v>528</v>
      </c>
      <c r="BA43" s="39" t="s">
        <v>551</v>
      </c>
      <c r="BC43" s="51">
        <f>AW43+AX43</f>
        <v>0</v>
      </c>
      <c r="BD43" s="51">
        <f>H43/(100-BE43)*100</f>
        <v>0</v>
      </c>
      <c r="BE43" s="51">
        <v>0</v>
      </c>
      <c r="BF43" s="51">
        <f>M43</f>
        <v>0.032400000000000005</v>
      </c>
      <c r="BH43" s="28">
        <f>G43*AO43</f>
        <v>0</v>
      </c>
      <c r="BI43" s="28">
        <f>G43*AP43</f>
        <v>0</v>
      </c>
      <c r="BJ43" s="28">
        <f>G43*H43</f>
        <v>0</v>
      </c>
      <c r="BK43" s="28" t="s">
        <v>561</v>
      </c>
      <c r="BL43" s="51">
        <v>21</v>
      </c>
    </row>
    <row r="44" spans="1:15" ht="12.75">
      <c r="A44" s="6"/>
      <c r="D44" s="21" t="s">
        <v>287</v>
      </c>
      <c r="E44" s="22"/>
      <c r="G44" s="29">
        <v>180</v>
      </c>
      <c r="N44" s="47"/>
      <c r="O44" s="6"/>
    </row>
    <row r="45" spans="1:47" ht="12.75">
      <c r="A45" s="4"/>
      <c r="B45" s="15" t="s">
        <v>132</v>
      </c>
      <c r="C45" s="15" t="s">
        <v>62</v>
      </c>
      <c r="D45" s="166" t="s">
        <v>288</v>
      </c>
      <c r="E45" s="167"/>
      <c r="F45" s="25" t="s">
        <v>6</v>
      </c>
      <c r="G45" s="25" t="s">
        <v>6</v>
      </c>
      <c r="H45" s="25" t="s">
        <v>6</v>
      </c>
      <c r="I45" s="57">
        <f>SUM(I46:I51)</f>
        <v>0</v>
      </c>
      <c r="J45" s="57">
        <f>SUM(J46:J51)</f>
        <v>0</v>
      </c>
      <c r="K45" s="57">
        <f>SUM(K46:K51)</f>
        <v>0</v>
      </c>
      <c r="L45" s="39"/>
      <c r="M45" s="57">
        <f>SUM(M46:M51)</f>
        <v>5285.02</v>
      </c>
      <c r="N45" s="44"/>
      <c r="O45" s="6"/>
      <c r="AI45" s="39" t="s">
        <v>132</v>
      </c>
      <c r="AS45" s="57">
        <f>SUM(AJ46:AJ51)</f>
        <v>0</v>
      </c>
      <c r="AT45" s="57">
        <f>SUM(AK46:AK51)</f>
        <v>0</v>
      </c>
      <c r="AU45" s="57">
        <f>SUM(AL46:AL51)</f>
        <v>0</v>
      </c>
    </row>
    <row r="46" spans="1:64" ht="12.75">
      <c r="A46" s="5" t="s">
        <v>22</v>
      </c>
      <c r="B46" s="16" t="s">
        <v>132</v>
      </c>
      <c r="C46" s="16" t="s">
        <v>156</v>
      </c>
      <c r="D46" s="161" t="s">
        <v>289</v>
      </c>
      <c r="E46" s="162"/>
      <c r="F46" s="16" t="s">
        <v>460</v>
      </c>
      <c r="G46" s="28">
        <v>4000</v>
      </c>
      <c r="H46" s="28">
        <v>0</v>
      </c>
      <c r="I46" s="28">
        <f>G46*AO46</f>
        <v>0</v>
      </c>
      <c r="J46" s="28">
        <f>G46*AP46</f>
        <v>0</v>
      </c>
      <c r="K46" s="28">
        <f>G46*H46</f>
        <v>0</v>
      </c>
      <c r="L46" s="28">
        <v>0.3225</v>
      </c>
      <c r="M46" s="28">
        <f>G46*L46</f>
        <v>1290</v>
      </c>
      <c r="N46" s="45" t="s">
        <v>484</v>
      </c>
      <c r="O46" s="6"/>
      <c r="Z46" s="51">
        <f>IF(AQ46="5",BJ46,0)</f>
        <v>0</v>
      </c>
      <c r="AB46" s="51">
        <f>IF(AQ46="1",BH46,0)</f>
        <v>0</v>
      </c>
      <c r="AC46" s="51">
        <f>IF(AQ46="1",BI46,0)</f>
        <v>0</v>
      </c>
      <c r="AD46" s="51">
        <f>IF(AQ46="7",BH46,0)</f>
        <v>0</v>
      </c>
      <c r="AE46" s="51">
        <f>IF(AQ46="7",BI46,0)</f>
        <v>0</v>
      </c>
      <c r="AF46" s="51">
        <f>IF(AQ46="2",BH46,0)</f>
        <v>0</v>
      </c>
      <c r="AG46" s="51">
        <f>IF(AQ46="2",BI46,0)</f>
        <v>0</v>
      </c>
      <c r="AH46" s="51">
        <f>IF(AQ46="0",BJ46,0)</f>
        <v>0</v>
      </c>
      <c r="AI46" s="39" t="s">
        <v>132</v>
      </c>
      <c r="AJ46" s="28">
        <f>IF(AN46=0,K46,0)</f>
        <v>0</v>
      </c>
      <c r="AK46" s="28">
        <f>IF(AN46=15,K46,0)</f>
        <v>0</v>
      </c>
      <c r="AL46" s="28">
        <f>IF(AN46=21,K46,0)</f>
        <v>0</v>
      </c>
      <c r="AN46" s="51">
        <v>21</v>
      </c>
      <c r="AO46" s="51">
        <f>H46*0.848865979381443</f>
        <v>0</v>
      </c>
      <c r="AP46" s="51">
        <f>H46*(1-0.848865979381443)</f>
        <v>0</v>
      </c>
      <c r="AQ46" s="52" t="s">
        <v>7</v>
      </c>
      <c r="AV46" s="51">
        <f>AW46+AX46</f>
        <v>0</v>
      </c>
      <c r="AW46" s="51">
        <f>G46*AO46</f>
        <v>0</v>
      </c>
      <c r="AX46" s="51">
        <f>G46*AP46</f>
        <v>0</v>
      </c>
      <c r="AY46" s="54" t="s">
        <v>507</v>
      </c>
      <c r="AZ46" s="54" t="s">
        <v>529</v>
      </c>
      <c r="BA46" s="39" t="s">
        <v>551</v>
      </c>
      <c r="BC46" s="51">
        <f>AW46+AX46</f>
        <v>0</v>
      </c>
      <c r="BD46" s="51">
        <f>H46/(100-BE46)*100</f>
        <v>0</v>
      </c>
      <c r="BE46" s="51">
        <v>0</v>
      </c>
      <c r="BF46" s="51">
        <f>M46</f>
        <v>1290</v>
      </c>
      <c r="BH46" s="28">
        <f>G46*AO46</f>
        <v>0</v>
      </c>
      <c r="BI46" s="28">
        <f>G46*AP46</f>
        <v>0</v>
      </c>
      <c r="BJ46" s="28">
        <f>G46*H46</f>
        <v>0</v>
      </c>
      <c r="BK46" s="28" t="s">
        <v>561</v>
      </c>
      <c r="BL46" s="51">
        <v>56</v>
      </c>
    </row>
    <row r="47" spans="1:64" ht="12.75">
      <c r="A47" s="5" t="s">
        <v>23</v>
      </c>
      <c r="B47" s="16" t="s">
        <v>132</v>
      </c>
      <c r="C47" s="16" t="s">
        <v>157</v>
      </c>
      <c r="D47" s="161" t="s">
        <v>290</v>
      </c>
      <c r="E47" s="162"/>
      <c r="F47" s="16" t="s">
        <v>460</v>
      </c>
      <c r="G47" s="28">
        <v>4000</v>
      </c>
      <c r="H47" s="28">
        <v>0</v>
      </c>
      <c r="I47" s="28">
        <f>G47*AO47</f>
        <v>0</v>
      </c>
      <c r="J47" s="28">
        <f>G47*AP47</f>
        <v>0</v>
      </c>
      <c r="K47" s="28">
        <f>G47*H47</f>
        <v>0</v>
      </c>
      <c r="L47" s="28">
        <v>0.3225</v>
      </c>
      <c r="M47" s="28">
        <f>G47*L47</f>
        <v>1290</v>
      </c>
      <c r="N47" s="45" t="s">
        <v>484</v>
      </c>
      <c r="O47" s="6"/>
      <c r="Z47" s="51">
        <f>IF(AQ47="5",BJ47,0)</f>
        <v>0</v>
      </c>
      <c r="AB47" s="51">
        <f>IF(AQ47="1",BH47,0)</f>
        <v>0</v>
      </c>
      <c r="AC47" s="51">
        <f>IF(AQ47="1",BI47,0)</f>
        <v>0</v>
      </c>
      <c r="AD47" s="51">
        <f>IF(AQ47="7",BH47,0)</f>
        <v>0</v>
      </c>
      <c r="AE47" s="51">
        <f>IF(AQ47="7",BI47,0)</f>
        <v>0</v>
      </c>
      <c r="AF47" s="51">
        <f>IF(AQ47="2",BH47,0)</f>
        <v>0</v>
      </c>
      <c r="AG47" s="51">
        <f>IF(AQ47="2",BI47,0)</f>
        <v>0</v>
      </c>
      <c r="AH47" s="51">
        <f>IF(AQ47="0",BJ47,0)</f>
        <v>0</v>
      </c>
      <c r="AI47" s="39" t="s">
        <v>132</v>
      </c>
      <c r="AJ47" s="28">
        <f>IF(AN47=0,K47,0)</f>
        <v>0</v>
      </c>
      <c r="AK47" s="28">
        <f>IF(AN47=15,K47,0)</f>
        <v>0</v>
      </c>
      <c r="AL47" s="28">
        <f>IF(AN47=21,K47,0)</f>
        <v>0</v>
      </c>
      <c r="AN47" s="51">
        <v>21</v>
      </c>
      <c r="AO47" s="51">
        <f>H47*0.82974025974026</f>
        <v>0</v>
      </c>
      <c r="AP47" s="51">
        <f>H47*(1-0.82974025974026)</f>
        <v>0</v>
      </c>
      <c r="AQ47" s="52" t="s">
        <v>7</v>
      </c>
      <c r="AV47" s="51">
        <f>AW47+AX47</f>
        <v>0</v>
      </c>
      <c r="AW47" s="51">
        <f>G47*AO47</f>
        <v>0</v>
      </c>
      <c r="AX47" s="51">
        <f>G47*AP47</f>
        <v>0</v>
      </c>
      <c r="AY47" s="54" t="s">
        <v>507</v>
      </c>
      <c r="AZ47" s="54" t="s">
        <v>529</v>
      </c>
      <c r="BA47" s="39" t="s">
        <v>551</v>
      </c>
      <c r="BC47" s="51">
        <f>AW47+AX47</f>
        <v>0</v>
      </c>
      <c r="BD47" s="51">
        <f>H47/(100-BE47)*100</f>
        <v>0</v>
      </c>
      <c r="BE47" s="51">
        <v>0</v>
      </c>
      <c r="BF47" s="51">
        <f>M47</f>
        <v>1290</v>
      </c>
      <c r="BH47" s="28">
        <f>G47*AO47</f>
        <v>0</v>
      </c>
      <c r="BI47" s="28">
        <f>G47*AP47</f>
        <v>0</v>
      </c>
      <c r="BJ47" s="28">
        <f>G47*H47</f>
        <v>0</v>
      </c>
      <c r="BK47" s="28" t="s">
        <v>561</v>
      </c>
      <c r="BL47" s="51">
        <v>56</v>
      </c>
    </row>
    <row r="48" spans="1:64" ht="12.75">
      <c r="A48" s="5" t="s">
        <v>24</v>
      </c>
      <c r="B48" s="16" t="s">
        <v>132</v>
      </c>
      <c r="C48" s="16" t="s">
        <v>158</v>
      </c>
      <c r="D48" s="161" t="s">
        <v>291</v>
      </c>
      <c r="E48" s="162"/>
      <c r="F48" s="16" t="s">
        <v>460</v>
      </c>
      <c r="G48" s="28">
        <v>5700</v>
      </c>
      <c r="H48" s="28">
        <v>0</v>
      </c>
      <c r="I48" s="28">
        <f>G48*AO48</f>
        <v>0</v>
      </c>
      <c r="J48" s="28">
        <f>G48*AP48</f>
        <v>0</v>
      </c>
      <c r="K48" s="28">
        <f>G48*H48</f>
        <v>0</v>
      </c>
      <c r="L48" s="28">
        <v>0.345</v>
      </c>
      <c r="M48" s="28">
        <f>G48*L48</f>
        <v>1966.4999999999998</v>
      </c>
      <c r="N48" s="45" t="s">
        <v>484</v>
      </c>
      <c r="O48" s="6"/>
      <c r="Z48" s="51">
        <f>IF(AQ48="5",BJ48,0)</f>
        <v>0</v>
      </c>
      <c r="AB48" s="51">
        <f>IF(AQ48="1",BH48,0)</f>
        <v>0</v>
      </c>
      <c r="AC48" s="51">
        <f>IF(AQ48="1",BI48,0)</f>
        <v>0</v>
      </c>
      <c r="AD48" s="51">
        <f>IF(AQ48="7",BH48,0)</f>
        <v>0</v>
      </c>
      <c r="AE48" s="51">
        <f>IF(AQ48="7",BI48,0)</f>
        <v>0</v>
      </c>
      <c r="AF48" s="51">
        <f>IF(AQ48="2",BH48,0)</f>
        <v>0</v>
      </c>
      <c r="AG48" s="51">
        <f>IF(AQ48="2",BI48,0)</f>
        <v>0</v>
      </c>
      <c r="AH48" s="51">
        <f>IF(AQ48="0",BJ48,0)</f>
        <v>0</v>
      </c>
      <c r="AI48" s="39" t="s">
        <v>132</v>
      </c>
      <c r="AJ48" s="28">
        <f>IF(AN48=0,K48,0)</f>
        <v>0</v>
      </c>
      <c r="AK48" s="28">
        <f>IF(AN48=15,K48,0)</f>
        <v>0</v>
      </c>
      <c r="AL48" s="28">
        <f>IF(AN48=21,K48,0)</f>
        <v>0</v>
      </c>
      <c r="AN48" s="51">
        <v>21</v>
      </c>
      <c r="AO48" s="51">
        <f>H48*0.84657223796034</f>
        <v>0</v>
      </c>
      <c r="AP48" s="51">
        <f>H48*(1-0.84657223796034)</f>
        <v>0</v>
      </c>
      <c r="AQ48" s="52" t="s">
        <v>7</v>
      </c>
      <c r="AV48" s="51">
        <f>AW48+AX48</f>
        <v>0</v>
      </c>
      <c r="AW48" s="51">
        <f>G48*AO48</f>
        <v>0</v>
      </c>
      <c r="AX48" s="51">
        <f>G48*AP48</f>
        <v>0</v>
      </c>
      <c r="AY48" s="54" t="s">
        <v>507</v>
      </c>
      <c r="AZ48" s="54" t="s">
        <v>529</v>
      </c>
      <c r="BA48" s="39" t="s">
        <v>551</v>
      </c>
      <c r="BC48" s="51">
        <f>AW48+AX48</f>
        <v>0</v>
      </c>
      <c r="BD48" s="51">
        <f>H48/(100-BE48)*100</f>
        <v>0</v>
      </c>
      <c r="BE48" s="51">
        <v>0</v>
      </c>
      <c r="BF48" s="51">
        <f>M48</f>
        <v>1966.4999999999998</v>
      </c>
      <c r="BH48" s="28">
        <f>G48*AO48</f>
        <v>0</v>
      </c>
      <c r="BI48" s="28">
        <f>G48*AP48</f>
        <v>0</v>
      </c>
      <c r="BJ48" s="28">
        <f>G48*H48</f>
        <v>0</v>
      </c>
      <c r="BK48" s="28" t="s">
        <v>561</v>
      </c>
      <c r="BL48" s="51">
        <v>56</v>
      </c>
    </row>
    <row r="49" spans="1:15" ht="12.75">
      <c r="A49" s="6"/>
      <c r="C49" s="20" t="s">
        <v>141</v>
      </c>
      <c r="D49" s="163" t="s">
        <v>292</v>
      </c>
      <c r="E49" s="164"/>
      <c r="F49" s="164"/>
      <c r="G49" s="164"/>
      <c r="H49" s="164"/>
      <c r="I49" s="164"/>
      <c r="J49" s="164"/>
      <c r="K49" s="164"/>
      <c r="L49" s="164"/>
      <c r="M49" s="164"/>
      <c r="N49" s="165"/>
      <c r="O49" s="6"/>
    </row>
    <row r="50" spans="1:15" ht="12.75">
      <c r="A50" s="6"/>
      <c r="D50" s="21" t="s">
        <v>293</v>
      </c>
      <c r="E50" s="22"/>
      <c r="G50" s="29">
        <v>5700</v>
      </c>
      <c r="N50" s="47"/>
      <c r="O50" s="6"/>
    </row>
    <row r="51" spans="1:64" ht="12.75">
      <c r="A51" s="5" t="s">
        <v>25</v>
      </c>
      <c r="B51" s="16" t="s">
        <v>132</v>
      </c>
      <c r="C51" s="16" t="s">
        <v>159</v>
      </c>
      <c r="D51" s="161" t="s">
        <v>294</v>
      </c>
      <c r="E51" s="162"/>
      <c r="F51" s="16" t="s">
        <v>460</v>
      </c>
      <c r="G51" s="28">
        <v>4000</v>
      </c>
      <c r="H51" s="28">
        <v>0</v>
      </c>
      <c r="I51" s="28">
        <f>G51*AO51</f>
        <v>0</v>
      </c>
      <c r="J51" s="28">
        <f>G51*AP51</f>
        <v>0</v>
      </c>
      <c r="K51" s="28">
        <f>G51*H51</f>
        <v>0</v>
      </c>
      <c r="L51" s="28">
        <v>0.18463</v>
      </c>
      <c r="M51" s="28">
        <f>G51*L51</f>
        <v>738.52</v>
      </c>
      <c r="N51" s="45" t="s">
        <v>484</v>
      </c>
      <c r="O51" s="6"/>
      <c r="Z51" s="51">
        <f>IF(AQ51="5",BJ51,0)</f>
        <v>0</v>
      </c>
      <c r="AB51" s="51">
        <f>IF(AQ51="1",BH51,0)</f>
        <v>0</v>
      </c>
      <c r="AC51" s="51">
        <f>IF(AQ51="1",BI51,0)</f>
        <v>0</v>
      </c>
      <c r="AD51" s="51">
        <f>IF(AQ51="7",BH51,0)</f>
        <v>0</v>
      </c>
      <c r="AE51" s="51">
        <f>IF(AQ51="7",BI51,0)</f>
        <v>0</v>
      </c>
      <c r="AF51" s="51">
        <f>IF(AQ51="2",BH51,0)</f>
        <v>0</v>
      </c>
      <c r="AG51" s="51">
        <f>IF(AQ51="2",BI51,0)</f>
        <v>0</v>
      </c>
      <c r="AH51" s="51">
        <f>IF(AQ51="0",BJ51,0)</f>
        <v>0</v>
      </c>
      <c r="AI51" s="39" t="s">
        <v>132</v>
      </c>
      <c r="AJ51" s="28">
        <f>IF(AN51=0,K51,0)</f>
        <v>0</v>
      </c>
      <c r="AK51" s="28">
        <f>IF(AN51=15,K51,0)</f>
        <v>0</v>
      </c>
      <c r="AL51" s="28">
        <f>IF(AN51=21,K51,0)</f>
        <v>0</v>
      </c>
      <c r="AN51" s="51">
        <v>21</v>
      </c>
      <c r="AO51" s="51">
        <f>H51*0.792502708559047</f>
        <v>0</v>
      </c>
      <c r="AP51" s="51">
        <f>H51*(1-0.792502708559047)</f>
        <v>0</v>
      </c>
      <c r="AQ51" s="52" t="s">
        <v>7</v>
      </c>
      <c r="AV51" s="51">
        <f>AW51+AX51</f>
        <v>0</v>
      </c>
      <c r="AW51" s="51">
        <f>G51*AO51</f>
        <v>0</v>
      </c>
      <c r="AX51" s="51">
        <f>G51*AP51</f>
        <v>0</v>
      </c>
      <c r="AY51" s="54" t="s">
        <v>507</v>
      </c>
      <c r="AZ51" s="54" t="s">
        <v>529</v>
      </c>
      <c r="BA51" s="39" t="s">
        <v>551</v>
      </c>
      <c r="BC51" s="51">
        <f>AW51+AX51</f>
        <v>0</v>
      </c>
      <c r="BD51" s="51">
        <f>H51/(100-BE51)*100</f>
        <v>0</v>
      </c>
      <c r="BE51" s="51">
        <v>0</v>
      </c>
      <c r="BF51" s="51">
        <f>M51</f>
        <v>738.52</v>
      </c>
      <c r="BH51" s="28">
        <f>G51*AO51</f>
        <v>0</v>
      </c>
      <c r="BI51" s="28">
        <f>G51*AP51</f>
        <v>0</v>
      </c>
      <c r="BJ51" s="28">
        <f>G51*H51</f>
        <v>0</v>
      </c>
      <c r="BK51" s="28" t="s">
        <v>561</v>
      </c>
      <c r="BL51" s="51">
        <v>56</v>
      </c>
    </row>
    <row r="52" spans="1:47" ht="12.75">
      <c r="A52" s="4"/>
      <c r="B52" s="15" t="s">
        <v>132</v>
      </c>
      <c r="C52" s="15" t="s">
        <v>63</v>
      </c>
      <c r="D52" s="166" t="s">
        <v>295</v>
      </c>
      <c r="E52" s="167"/>
      <c r="F52" s="25" t="s">
        <v>6</v>
      </c>
      <c r="G52" s="25" t="s">
        <v>6</v>
      </c>
      <c r="H52" s="25" t="s">
        <v>6</v>
      </c>
      <c r="I52" s="57">
        <f>SUM(I53:I55)</f>
        <v>0</v>
      </c>
      <c r="J52" s="57">
        <f>SUM(J53:J55)</f>
        <v>0</v>
      </c>
      <c r="K52" s="57">
        <f>SUM(K53:K55)</f>
        <v>0</v>
      </c>
      <c r="L52" s="39"/>
      <c r="M52" s="57">
        <f>SUM(M53:M55)</f>
        <v>551.6</v>
      </c>
      <c r="N52" s="44"/>
      <c r="O52" s="6"/>
      <c r="AI52" s="39" t="s">
        <v>132</v>
      </c>
      <c r="AS52" s="57">
        <f>SUM(AJ53:AJ55)</f>
        <v>0</v>
      </c>
      <c r="AT52" s="57">
        <f>SUM(AK53:AK55)</f>
        <v>0</v>
      </c>
      <c r="AU52" s="57">
        <f>SUM(AL53:AL55)</f>
        <v>0</v>
      </c>
    </row>
    <row r="53" spans="1:64" ht="12.75">
      <c r="A53" s="5" t="s">
        <v>26</v>
      </c>
      <c r="B53" s="16" t="s">
        <v>132</v>
      </c>
      <c r="C53" s="16" t="s">
        <v>160</v>
      </c>
      <c r="D53" s="161" t="s">
        <v>296</v>
      </c>
      <c r="E53" s="162"/>
      <c r="F53" s="16" t="s">
        <v>460</v>
      </c>
      <c r="G53" s="28">
        <v>4000</v>
      </c>
      <c r="H53" s="28">
        <v>0</v>
      </c>
      <c r="I53" s="28">
        <f>G53*AO53</f>
        <v>0</v>
      </c>
      <c r="J53" s="28">
        <f>G53*AP53</f>
        <v>0</v>
      </c>
      <c r="K53" s="28">
        <f>G53*H53</f>
        <v>0</v>
      </c>
      <c r="L53" s="28">
        <v>0.00753</v>
      </c>
      <c r="M53" s="28">
        <f>G53*L53</f>
        <v>30.12</v>
      </c>
      <c r="N53" s="45" t="s">
        <v>484</v>
      </c>
      <c r="O53" s="6"/>
      <c r="Z53" s="51">
        <f>IF(AQ53="5",BJ53,0)</f>
        <v>0</v>
      </c>
      <c r="AB53" s="51">
        <f>IF(AQ53="1",BH53,0)</f>
        <v>0</v>
      </c>
      <c r="AC53" s="51">
        <f>IF(AQ53="1",BI53,0)</f>
        <v>0</v>
      </c>
      <c r="AD53" s="51">
        <f>IF(AQ53="7",BH53,0)</f>
        <v>0</v>
      </c>
      <c r="AE53" s="51">
        <f>IF(AQ53="7",BI53,0)</f>
        <v>0</v>
      </c>
      <c r="AF53" s="51">
        <f>IF(AQ53="2",BH53,0)</f>
        <v>0</v>
      </c>
      <c r="AG53" s="51">
        <f>IF(AQ53="2",BI53,0)</f>
        <v>0</v>
      </c>
      <c r="AH53" s="51">
        <f>IF(AQ53="0",BJ53,0)</f>
        <v>0</v>
      </c>
      <c r="AI53" s="39" t="s">
        <v>132</v>
      </c>
      <c r="AJ53" s="28">
        <f>IF(AN53=0,K53,0)</f>
        <v>0</v>
      </c>
      <c r="AK53" s="28">
        <f>IF(AN53=15,K53,0)</f>
        <v>0</v>
      </c>
      <c r="AL53" s="28">
        <f>IF(AN53=21,K53,0)</f>
        <v>0</v>
      </c>
      <c r="AN53" s="51">
        <v>21</v>
      </c>
      <c r="AO53" s="51">
        <f>H53*0.962208067940552</f>
        <v>0</v>
      </c>
      <c r="AP53" s="51">
        <f>H53*(1-0.962208067940552)</f>
        <v>0</v>
      </c>
      <c r="AQ53" s="52" t="s">
        <v>7</v>
      </c>
      <c r="AV53" s="51">
        <f>AW53+AX53</f>
        <v>0</v>
      </c>
      <c r="AW53" s="51">
        <f>G53*AO53</f>
        <v>0</v>
      </c>
      <c r="AX53" s="51">
        <f>G53*AP53</f>
        <v>0</v>
      </c>
      <c r="AY53" s="54" t="s">
        <v>508</v>
      </c>
      <c r="AZ53" s="54" t="s">
        <v>529</v>
      </c>
      <c r="BA53" s="39" t="s">
        <v>551</v>
      </c>
      <c r="BC53" s="51">
        <f>AW53+AX53</f>
        <v>0</v>
      </c>
      <c r="BD53" s="51">
        <f>H53/(100-BE53)*100</f>
        <v>0</v>
      </c>
      <c r="BE53" s="51">
        <v>0</v>
      </c>
      <c r="BF53" s="51">
        <f>M53</f>
        <v>30.12</v>
      </c>
      <c r="BH53" s="28">
        <f>G53*AO53</f>
        <v>0</v>
      </c>
      <c r="BI53" s="28">
        <f>G53*AP53</f>
        <v>0</v>
      </c>
      <c r="BJ53" s="28">
        <f>G53*H53</f>
        <v>0</v>
      </c>
      <c r="BK53" s="28" t="s">
        <v>561</v>
      </c>
      <c r="BL53" s="51">
        <v>57</v>
      </c>
    </row>
    <row r="54" spans="1:64" ht="12.75">
      <c r="A54" s="5" t="s">
        <v>27</v>
      </c>
      <c r="B54" s="16" t="s">
        <v>132</v>
      </c>
      <c r="C54" s="16" t="s">
        <v>161</v>
      </c>
      <c r="D54" s="161" t="s">
        <v>297</v>
      </c>
      <c r="E54" s="162"/>
      <c r="F54" s="16" t="s">
        <v>460</v>
      </c>
      <c r="G54" s="28">
        <v>4000</v>
      </c>
      <c r="H54" s="28">
        <v>0</v>
      </c>
      <c r="I54" s="28">
        <f>G54*AO54</f>
        <v>0</v>
      </c>
      <c r="J54" s="28">
        <f>G54*AP54</f>
        <v>0</v>
      </c>
      <c r="K54" s="28">
        <f>G54*H54</f>
        <v>0</v>
      </c>
      <c r="L54" s="28">
        <v>0.00071</v>
      </c>
      <c r="M54" s="28">
        <f>G54*L54</f>
        <v>2.84</v>
      </c>
      <c r="N54" s="45" t="s">
        <v>484</v>
      </c>
      <c r="O54" s="6"/>
      <c r="Z54" s="51">
        <f>IF(AQ54="5",BJ54,0)</f>
        <v>0</v>
      </c>
      <c r="AB54" s="51">
        <f>IF(AQ54="1",BH54,0)</f>
        <v>0</v>
      </c>
      <c r="AC54" s="51">
        <f>IF(AQ54="1",BI54,0)</f>
        <v>0</v>
      </c>
      <c r="AD54" s="51">
        <f>IF(AQ54="7",BH54,0)</f>
        <v>0</v>
      </c>
      <c r="AE54" s="51">
        <f>IF(AQ54="7",BI54,0)</f>
        <v>0</v>
      </c>
      <c r="AF54" s="51">
        <f>IF(AQ54="2",BH54,0)</f>
        <v>0</v>
      </c>
      <c r="AG54" s="51">
        <f>IF(AQ54="2",BI54,0)</f>
        <v>0</v>
      </c>
      <c r="AH54" s="51">
        <f>IF(AQ54="0",BJ54,0)</f>
        <v>0</v>
      </c>
      <c r="AI54" s="39" t="s">
        <v>132</v>
      </c>
      <c r="AJ54" s="28">
        <f>IF(AN54=0,K54,0)</f>
        <v>0</v>
      </c>
      <c r="AK54" s="28">
        <f>IF(AN54=15,K54,0)</f>
        <v>0</v>
      </c>
      <c r="AL54" s="28">
        <f>IF(AN54=21,K54,0)</f>
        <v>0</v>
      </c>
      <c r="AN54" s="51">
        <v>21</v>
      </c>
      <c r="AO54" s="51">
        <f>H54*0.893844781445138</f>
        <v>0</v>
      </c>
      <c r="AP54" s="51">
        <f>H54*(1-0.893844781445138)</f>
        <v>0</v>
      </c>
      <c r="AQ54" s="52" t="s">
        <v>7</v>
      </c>
      <c r="AV54" s="51">
        <f>AW54+AX54</f>
        <v>0</v>
      </c>
      <c r="AW54" s="51">
        <f>G54*AO54</f>
        <v>0</v>
      </c>
      <c r="AX54" s="51">
        <f>G54*AP54</f>
        <v>0</v>
      </c>
      <c r="AY54" s="54" t="s">
        <v>508</v>
      </c>
      <c r="AZ54" s="54" t="s">
        <v>529</v>
      </c>
      <c r="BA54" s="39" t="s">
        <v>551</v>
      </c>
      <c r="BC54" s="51">
        <f>AW54+AX54</f>
        <v>0</v>
      </c>
      <c r="BD54" s="51">
        <f>H54/(100-BE54)*100</f>
        <v>0</v>
      </c>
      <c r="BE54" s="51">
        <v>0</v>
      </c>
      <c r="BF54" s="51">
        <f>M54</f>
        <v>2.84</v>
      </c>
      <c r="BH54" s="28">
        <f>G54*AO54</f>
        <v>0</v>
      </c>
      <c r="BI54" s="28">
        <f>G54*AP54</f>
        <v>0</v>
      </c>
      <c r="BJ54" s="28">
        <f>G54*H54</f>
        <v>0</v>
      </c>
      <c r="BK54" s="28" t="s">
        <v>561</v>
      </c>
      <c r="BL54" s="51">
        <v>57</v>
      </c>
    </row>
    <row r="55" spans="1:64" ht="12.75">
      <c r="A55" s="5" t="s">
        <v>28</v>
      </c>
      <c r="B55" s="16" t="s">
        <v>132</v>
      </c>
      <c r="C55" s="16" t="s">
        <v>162</v>
      </c>
      <c r="D55" s="161" t="s">
        <v>298</v>
      </c>
      <c r="E55" s="162"/>
      <c r="F55" s="16" t="s">
        <v>460</v>
      </c>
      <c r="G55" s="28">
        <v>4000</v>
      </c>
      <c r="H55" s="28">
        <v>0</v>
      </c>
      <c r="I55" s="28">
        <f>G55*AO55</f>
        <v>0</v>
      </c>
      <c r="J55" s="28">
        <f>G55*AP55</f>
        <v>0</v>
      </c>
      <c r="K55" s="28">
        <f>G55*H55</f>
        <v>0</v>
      </c>
      <c r="L55" s="28">
        <v>0.12966</v>
      </c>
      <c r="M55" s="28">
        <f>G55*L55</f>
        <v>518.64</v>
      </c>
      <c r="N55" s="45" t="s">
        <v>484</v>
      </c>
      <c r="O55" s="6"/>
      <c r="Z55" s="51">
        <f>IF(AQ55="5",BJ55,0)</f>
        <v>0</v>
      </c>
      <c r="AB55" s="51">
        <f>IF(AQ55="1",BH55,0)</f>
        <v>0</v>
      </c>
      <c r="AC55" s="51">
        <f>IF(AQ55="1",BI55,0)</f>
        <v>0</v>
      </c>
      <c r="AD55" s="51">
        <f>IF(AQ55="7",BH55,0)</f>
        <v>0</v>
      </c>
      <c r="AE55" s="51">
        <f>IF(AQ55="7",BI55,0)</f>
        <v>0</v>
      </c>
      <c r="AF55" s="51">
        <f>IF(AQ55="2",BH55,0)</f>
        <v>0</v>
      </c>
      <c r="AG55" s="51">
        <f>IF(AQ55="2",BI55,0)</f>
        <v>0</v>
      </c>
      <c r="AH55" s="51">
        <f>IF(AQ55="0",BJ55,0)</f>
        <v>0</v>
      </c>
      <c r="AI55" s="39" t="s">
        <v>132</v>
      </c>
      <c r="AJ55" s="28">
        <f>IF(AN55=0,K55,0)</f>
        <v>0</v>
      </c>
      <c r="AK55" s="28">
        <f>IF(AN55=15,K55,0)</f>
        <v>0</v>
      </c>
      <c r="AL55" s="28">
        <f>IF(AN55=21,K55,0)</f>
        <v>0</v>
      </c>
      <c r="AN55" s="51">
        <v>21</v>
      </c>
      <c r="AO55" s="51">
        <f>H55*0.59704954954955</f>
        <v>0</v>
      </c>
      <c r="AP55" s="51">
        <f>H55*(1-0.59704954954955)</f>
        <v>0</v>
      </c>
      <c r="AQ55" s="52" t="s">
        <v>7</v>
      </c>
      <c r="AV55" s="51">
        <f>AW55+AX55</f>
        <v>0</v>
      </c>
      <c r="AW55" s="51">
        <f>G55*AO55</f>
        <v>0</v>
      </c>
      <c r="AX55" s="51">
        <f>G55*AP55</f>
        <v>0</v>
      </c>
      <c r="AY55" s="54" t="s">
        <v>508</v>
      </c>
      <c r="AZ55" s="54" t="s">
        <v>529</v>
      </c>
      <c r="BA55" s="39" t="s">
        <v>551</v>
      </c>
      <c r="BC55" s="51">
        <f>AW55+AX55</f>
        <v>0</v>
      </c>
      <c r="BD55" s="51">
        <f>H55/(100-BE55)*100</f>
        <v>0</v>
      </c>
      <c r="BE55" s="51">
        <v>0</v>
      </c>
      <c r="BF55" s="51">
        <f>M55</f>
        <v>518.64</v>
      </c>
      <c r="BH55" s="28">
        <f>G55*AO55</f>
        <v>0</v>
      </c>
      <c r="BI55" s="28">
        <f>G55*AP55</f>
        <v>0</v>
      </c>
      <c r="BJ55" s="28">
        <f>G55*H55</f>
        <v>0</v>
      </c>
      <c r="BK55" s="28" t="s">
        <v>561</v>
      </c>
      <c r="BL55" s="51">
        <v>57</v>
      </c>
    </row>
    <row r="56" spans="1:15" ht="12.75">
      <c r="A56" s="6"/>
      <c r="C56" s="20" t="s">
        <v>141</v>
      </c>
      <c r="D56" s="163" t="s">
        <v>299</v>
      </c>
      <c r="E56" s="164"/>
      <c r="F56" s="164"/>
      <c r="G56" s="164"/>
      <c r="H56" s="164"/>
      <c r="I56" s="164"/>
      <c r="J56" s="164"/>
      <c r="K56" s="164"/>
      <c r="L56" s="164"/>
      <c r="M56" s="164"/>
      <c r="N56" s="165"/>
      <c r="O56" s="6"/>
    </row>
    <row r="57" spans="1:47" ht="12.75">
      <c r="A57" s="4"/>
      <c r="B57" s="15" t="s">
        <v>132</v>
      </c>
      <c r="C57" s="15" t="s">
        <v>93</v>
      </c>
      <c r="D57" s="166" t="s">
        <v>259</v>
      </c>
      <c r="E57" s="167"/>
      <c r="F57" s="25" t="s">
        <v>6</v>
      </c>
      <c r="G57" s="25" t="s">
        <v>6</v>
      </c>
      <c r="H57" s="25" t="s">
        <v>6</v>
      </c>
      <c r="I57" s="57">
        <f>SUM(I58:I59)</f>
        <v>0</v>
      </c>
      <c r="J57" s="57">
        <f>SUM(J58:J59)</f>
        <v>0</v>
      </c>
      <c r="K57" s="57">
        <f>SUM(K58:K59)</f>
        <v>0</v>
      </c>
      <c r="L57" s="39"/>
      <c r="M57" s="57">
        <f>SUM(M58:M59)</f>
        <v>0.07200000000000001</v>
      </c>
      <c r="N57" s="44"/>
      <c r="O57" s="6"/>
      <c r="AI57" s="39" t="s">
        <v>132</v>
      </c>
      <c r="AS57" s="57">
        <f>SUM(AJ58:AJ59)</f>
        <v>0</v>
      </c>
      <c r="AT57" s="57">
        <f>SUM(AK58:AK59)</f>
        <v>0</v>
      </c>
      <c r="AU57" s="57">
        <f>SUM(AL58:AL59)</f>
        <v>0</v>
      </c>
    </row>
    <row r="58" spans="1:64" ht="12.75">
      <c r="A58" s="5" t="s">
        <v>29</v>
      </c>
      <c r="B58" s="16" t="s">
        <v>132</v>
      </c>
      <c r="C58" s="16" t="s">
        <v>163</v>
      </c>
      <c r="D58" s="161" t="s">
        <v>300</v>
      </c>
      <c r="E58" s="162"/>
      <c r="F58" s="16" t="s">
        <v>461</v>
      </c>
      <c r="G58" s="28">
        <v>90</v>
      </c>
      <c r="H58" s="28">
        <v>0</v>
      </c>
      <c r="I58" s="28">
        <f>G58*AO58</f>
        <v>0</v>
      </c>
      <c r="J58" s="28">
        <f>G58*AP58</f>
        <v>0</v>
      </c>
      <c r="K58" s="28">
        <f>G58*H58</f>
        <v>0</v>
      </c>
      <c r="L58" s="28">
        <v>0</v>
      </c>
      <c r="M58" s="28">
        <f>G58*L58</f>
        <v>0</v>
      </c>
      <c r="N58" s="45" t="s">
        <v>484</v>
      </c>
      <c r="O58" s="6"/>
      <c r="Z58" s="51">
        <f>IF(AQ58="5",BJ58,0)</f>
        <v>0</v>
      </c>
      <c r="AB58" s="51">
        <f>IF(AQ58="1",BH58,0)</f>
        <v>0</v>
      </c>
      <c r="AC58" s="51">
        <f>IF(AQ58="1",BI58,0)</f>
        <v>0</v>
      </c>
      <c r="AD58" s="51">
        <f>IF(AQ58="7",BH58,0)</f>
        <v>0</v>
      </c>
      <c r="AE58" s="51">
        <f>IF(AQ58="7",BI58,0)</f>
        <v>0</v>
      </c>
      <c r="AF58" s="51">
        <f>IF(AQ58="2",BH58,0)</f>
        <v>0</v>
      </c>
      <c r="AG58" s="51">
        <f>IF(AQ58="2",BI58,0)</f>
        <v>0</v>
      </c>
      <c r="AH58" s="51">
        <f>IF(AQ58="0",BJ58,0)</f>
        <v>0</v>
      </c>
      <c r="AI58" s="39" t="s">
        <v>132</v>
      </c>
      <c r="AJ58" s="28">
        <f>IF(AN58=0,K58,0)</f>
        <v>0</v>
      </c>
      <c r="AK58" s="28">
        <f>IF(AN58=15,K58,0)</f>
        <v>0</v>
      </c>
      <c r="AL58" s="28">
        <f>IF(AN58=21,K58,0)</f>
        <v>0</v>
      </c>
      <c r="AN58" s="51">
        <v>21</v>
      </c>
      <c r="AO58" s="51">
        <f>H58*0</f>
        <v>0</v>
      </c>
      <c r="AP58" s="51">
        <f>H58*(1-0)</f>
        <v>0</v>
      </c>
      <c r="AQ58" s="52" t="s">
        <v>7</v>
      </c>
      <c r="AV58" s="51">
        <f>AW58+AX58</f>
        <v>0</v>
      </c>
      <c r="AW58" s="51">
        <f>G58*AO58</f>
        <v>0</v>
      </c>
      <c r="AX58" s="51">
        <f>G58*AP58</f>
        <v>0</v>
      </c>
      <c r="AY58" s="54" t="s">
        <v>500</v>
      </c>
      <c r="AZ58" s="54" t="s">
        <v>530</v>
      </c>
      <c r="BA58" s="39" t="s">
        <v>551</v>
      </c>
      <c r="BC58" s="51">
        <f>AW58+AX58</f>
        <v>0</v>
      </c>
      <c r="BD58" s="51">
        <f>H58/(100-BE58)*100</f>
        <v>0</v>
      </c>
      <c r="BE58" s="51">
        <v>0</v>
      </c>
      <c r="BF58" s="51">
        <f>M58</f>
        <v>0</v>
      </c>
      <c r="BH58" s="28">
        <f>G58*AO58</f>
        <v>0</v>
      </c>
      <c r="BI58" s="28">
        <f>G58*AP58</f>
        <v>0</v>
      </c>
      <c r="BJ58" s="28">
        <f>G58*H58</f>
        <v>0</v>
      </c>
      <c r="BK58" s="28" t="s">
        <v>561</v>
      </c>
      <c r="BL58" s="51">
        <v>87</v>
      </c>
    </row>
    <row r="59" spans="1:64" ht="12.75">
      <c r="A59" s="8" t="s">
        <v>30</v>
      </c>
      <c r="B59" s="18" t="s">
        <v>132</v>
      </c>
      <c r="C59" s="18" t="s">
        <v>164</v>
      </c>
      <c r="D59" s="175" t="s">
        <v>301</v>
      </c>
      <c r="E59" s="176"/>
      <c r="F59" s="18" t="s">
        <v>461</v>
      </c>
      <c r="G59" s="30">
        <v>90</v>
      </c>
      <c r="H59" s="30">
        <v>0</v>
      </c>
      <c r="I59" s="30">
        <f>G59*AO59</f>
        <v>0</v>
      </c>
      <c r="J59" s="30">
        <f>G59*AP59</f>
        <v>0</v>
      </c>
      <c r="K59" s="30">
        <f>G59*H59</f>
        <v>0</v>
      </c>
      <c r="L59" s="30">
        <v>0.0008</v>
      </c>
      <c r="M59" s="30">
        <f>G59*L59</f>
        <v>0.07200000000000001</v>
      </c>
      <c r="N59" s="48" t="s">
        <v>484</v>
      </c>
      <c r="O59" s="6"/>
      <c r="Z59" s="51">
        <f>IF(AQ59="5",BJ59,0)</f>
        <v>0</v>
      </c>
      <c r="AB59" s="51">
        <f>IF(AQ59="1",BH59,0)</f>
        <v>0</v>
      </c>
      <c r="AC59" s="51">
        <f>IF(AQ59="1",BI59,0)</f>
        <v>0</v>
      </c>
      <c r="AD59" s="51">
        <f>IF(AQ59="7",BH59,0)</f>
        <v>0</v>
      </c>
      <c r="AE59" s="51">
        <f>IF(AQ59="7",BI59,0)</f>
        <v>0</v>
      </c>
      <c r="AF59" s="51">
        <f>IF(AQ59="2",BH59,0)</f>
        <v>0</v>
      </c>
      <c r="AG59" s="51">
        <f>IF(AQ59="2",BI59,0)</f>
        <v>0</v>
      </c>
      <c r="AH59" s="51">
        <f>IF(AQ59="0",BJ59,0)</f>
        <v>0</v>
      </c>
      <c r="AI59" s="39" t="s">
        <v>132</v>
      </c>
      <c r="AJ59" s="30">
        <f>IF(AN59=0,K59,0)</f>
        <v>0</v>
      </c>
      <c r="AK59" s="30">
        <f>IF(AN59=15,K59,0)</f>
        <v>0</v>
      </c>
      <c r="AL59" s="30">
        <f>IF(AN59=21,K59,0)</f>
        <v>0</v>
      </c>
      <c r="AN59" s="51">
        <v>21</v>
      </c>
      <c r="AO59" s="51">
        <f>H59*1</f>
        <v>0</v>
      </c>
      <c r="AP59" s="51">
        <f>H59*(1-1)</f>
        <v>0</v>
      </c>
      <c r="AQ59" s="53" t="s">
        <v>7</v>
      </c>
      <c r="AV59" s="51">
        <f>AW59+AX59</f>
        <v>0</v>
      </c>
      <c r="AW59" s="51">
        <f>G59*AO59</f>
        <v>0</v>
      </c>
      <c r="AX59" s="51">
        <f>G59*AP59</f>
        <v>0</v>
      </c>
      <c r="AY59" s="54" t="s">
        <v>500</v>
      </c>
      <c r="AZ59" s="54" t="s">
        <v>530</v>
      </c>
      <c r="BA59" s="39" t="s">
        <v>551</v>
      </c>
      <c r="BC59" s="51">
        <f>AW59+AX59</f>
        <v>0</v>
      </c>
      <c r="BD59" s="51">
        <f>H59/(100-BE59)*100</f>
        <v>0</v>
      </c>
      <c r="BE59" s="51">
        <v>0</v>
      </c>
      <c r="BF59" s="51">
        <f>M59</f>
        <v>0.07200000000000001</v>
      </c>
      <c r="BH59" s="30">
        <f>G59*AO59</f>
        <v>0</v>
      </c>
      <c r="BI59" s="30">
        <f>G59*AP59</f>
        <v>0</v>
      </c>
      <c r="BJ59" s="30">
        <f>G59*H59</f>
        <v>0</v>
      </c>
      <c r="BK59" s="30" t="s">
        <v>562</v>
      </c>
      <c r="BL59" s="51">
        <v>87</v>
      </c>
    </row>
    <row r="60" spans="1:47" ht="12.75">
      <c r="A60" s="4"/>
      <c r="B60" s="15" t="s">
        <v>132</v>
      </c>
      <c r="C60" s="15" t="s">
        <v>97</v>
      </c>
      <c r="D60" s="166" t="s">
        <v>302</v>
      </c>
      <c r="E60" s="167"/>
      <c r="F60" s="25" t="s">
        <v>6</v>
      </c>
      <c r="G60" s="25" t="s">
        <v>6</v>
      </c>
      <c r="H60" s="25" t="s">
        <v>6</v>
      </c>
      <c r="I60" s="57">
        <f>SUM(I61:I61)</f>
        <v>0</v>
      </c>
      <c r="J60" s="57">
        <f>SUM(J61:J61)</f>
        <v>0</v>
      </c>
      <c r="K60" s="57">
        <f>SUM(K61:K61)</f>
        <v>0</v>
      </c>
      <c r="L60" s="39"/>
      <c r="M60" s="57">
        <f>SUM(M61:M61)</f>
        <v>74.19775</v>
      </c>
      <c r="N60" s="44"/>
      <c r="O60" s="6"/>
      <c r="AI60" s="39" t="s">
        <v>132</v>
      </c>
      <c r="AS60" s="57">
        <f>SUM(AJ61:AJ61)</f>
        <v>0</v>
      </c>
      <c r="AT60" s="57">
        <f>SUM(AK61:AK61)</f>
        <v>0</v>
      </c>
      <c r="AU60" s="57">
        <f>SUM(AL61:AL61)</f>
        <v>0</v>
      </c>
    </row>
    <row r="61" spans="1:64" ht="12.75">
      <c r="A61" s="5" t="s">
        <v>31</v>
      </c>
      <c r="B61" s="16" t="s">
        <v>132</v>
      </c>
      <c r="C61" s="16" t="s">
        <v>165</v>
      </c>
      <c r="D61" s="161" t="s">
        <v>303</v>
      </c>
      <c r="E61" s="162"/>
      <c r="F61" s="16" t="s">
        <v>461</v>
      </c>
      <c r="G61" s="28">
        <v>275</v>
      </c>
      <c r="H61" s="28">
        <v>0</v>
      </c>
      <c r="I61" s="28">
        <f>G61*AO61</f>
        <v>0</v>
      </c>
      <c r="J61" s="28">
        <f>G61*AP61</f>
        <v>0</v>
      </c>
      <c r="K61" s="28">
        <f>G61*H61</f>
        <v>0</v>
      </c>
      <c r="L61" s="28">
        <v>0.26981</v>
      </c>
      <c r="M61" s="28">
        <f>G61*L61</f>
        <v>74.19775</v>
      </c>
      <c r="N61" s="45" t="s">
        <v>484</v>
      </c>
      <c r="O61" s="6"/>
      <c r="Z61" s="51">
        <f>IF(AQ61="5",BJ61,0)</f>
        <v>0</v>
      </c>
      <c r="AB61" s="51">
        <f>IF(AQ61="1",BH61,0)</f>
        <v>0</v>
      </c>
      <c r="AC61" s="51">
        <f>IF(AQ61="1",BI61,0)</f>
        <v>0</v>
      </c>
      <c r="AD61" s="51">
        <f>IF(AQ61="7",BH61,0)</f>
        <v>0</v>
      </c>
      <c r="AE61" s="51">
        <f>IF(AQ61="7",BI61,0)</f>
        <v>0</v>
      </c>
      <c r="AF61" s="51">
        <f>IF(AQ61="2",BH61,0)</f>
        <v>0</v>
      </c>
      <c r="AG61" s="51">
        <f>IF(AQ61="2",BI61,0)</f>
        <v>0</v>
      </c>
      <c r="AH61" s="51">
        <f>IF(AQ61="0",BJ61,0)</f>
        <v>0</v>
      </c>
      <c r="AI61" s="39" t="s">
        <v>132</v>
      </c>
      <c r="AJ61" s="28">
        <f>IF(AN61=0,K61,0)</f>
        <v>0</v>
      </c>
      <c r="AK61" s="28">
        <f>IF(AN61=15,K61,0)</f>
        <v>0</v>
      </c>
      <c r="AL61" s="28">
        <f>IF(AN61=21,K61,0)</f>
        <v>0</v>
      </c>
      <c r="AN61" s="51">
        <v>21</v>
      </c>
      <c r="AO61" s="51">
        <f>H61*0.72962962962963</f>
        <v>0</v>
      </c>
      <c r="AP61" s="51">
        <f>H61*(1-0.72962962962963)</f>
        <v>0</v>
      </c>
      <c r="AQ61" s="52" t="s">
        <v>7</v>
      </c>
      <c r="AV61" s="51">
        <f>AW61+AX61</f>
        <v>0</v>
      </c>
      <c r="AW61" s="51">
        <f>G61*AO61</f>
        <v>0</v>
      </c>
      <c r="AX61" s="51">
        <f>G61*AP61</f>
        <v>0</v>
      </c>
      <c r="AY61" s="54" t="s">
        <v>509</v>
      </c>
      <c r="AZ61" s="54" t="s">
        <v>531</v>
      </c>
      <c r="BA61" s="39" t="s">
        <v>551</v>
      </c>
      <c r="BC61" s="51">
        <f>AW61+AX61</f>
        <v>0</v>
      </c>
      <c r="BD61" s="51">
        <f>H61/(100-BE61)*100</f>
        <v>0</v>
      </c>
      <c r="BE61" s="51">
        <v>0</v>
      </c>
      <c r="BF61" s="51">
        <f>M61</f>
        <v>74.19775</v>
      </c>
      <c r="BH61" s="28">
        <f>G61*AO61</f>
        <v>0</v>
      </c>
      <c r="BI61" s="28">
        <f>G61*AP61</f>
        <v>0</v>
      </c>
      <c r="BJ61" s="28">
        <f>G61*H61</f>
        <v>0</v>
      </c>
      <c r="BK61" s="28" t="s">
        <v>561</v>
      </c>
      <c r="BL61" s="51">
        <v>91</v>
      </c>
    </row>
    <row r="62" spans="1:15" ht="12.75">
      <c r="A62" s="6"/>
      <c r="C62" s="20" t="s">
        <v>141</v>
      </c>
      <c r="D62" s="163" t="s">
        <v>304</v>
      </c>
      <c r="E62" s="164"/>
      <c r="F62" s="164"/>
      <c r="G62" s="164"/>
      <c r="H62" s="164"/>
      <c r="I62" s="164"/>
      <c r="J62" s="164"/>
      <c r="K62" s="164"/>
      <c r="L62" s="164"/>
      <c r="M62" s="164"/>
      <c r="N62" s="165"/>
      <c r="O62" s="6"/>
    </row>
    <row r="63" spans="1:47" ht="12.75">
      <c r="A63" s="4"/>
      <c r="B63" s="15" t="s">
        <v>132</v>
      </c>
      <c r="C63" s="15" t="s">
        <v>99</v>
      </c>
      <c r="D63" s="166" t="s">
        <v>305</v>
      </c>
      <c r="E63" s="167"/>
      <c r="F63" s="25" t="s">
        <v>6</v>
      </c>
      <c r="G63" s="25" t="s">
        <v>6</v>
      </c>
      <c r="H63" s="25" t="s">
        <v>6</v>
      </c>
      <c r="I63" s="57">
        <f>SUM(I64:I64)</f>
        <v>0</v>
      </c>
      <c r="J63" s="57">
        <f>SUM(J64:J64)</f>
        <v>0</v>
      </c>
      <c r="K63" s="57">
        <f>SUM(K64:K64)</f>
        <v>0</v>
      </c>
      <c r="L63" s="39"/>
      <c r="M63" s="57">
        <f>SUM(M64:M64)</f>
        <v>8.22684</v>
      </c>
      <c r="N63" s="44"/>
      <c r="O63" s="6"/>
      <c r="AI63" s="39" t="s">
        <v>132</v>
      </c>
      <c r="AS63" s="57">
        <f>SUM(AJ64:AJ64)</f>
        <v>0</v>
      </c>
      <c r="AT63" s="57">
        <f>SUM(AK64:AK64)</f>
        <v>0</v>
      </c>
      <c r="AU63" s="57">
        <f>SUM(AL64:AL64)</f>
        <v>0</v>
      </c>
    </row>
    <row r="64" spans="1:64" ht="12.75">
      <c r="A64" s="5" t="s">
        <v>32</v>
      </c>
      <c r="B64" s="16" t="s">
        <v>132</v>
      </c>
      <c r="C64" s="16" t="s">
        <v>99</v>
      </c>
      <c r="D64" s="161" t="s">
        <v>306</v>
      </c>
      <c r="E64" s="162"/>
      <c r="F64" s="16" t="s">
        <v>458</v>
      </c>
      <c r="G64" s="28">
        <v>3</v>
      </c>
      <c r="H64" s="28">
        <v>0</v>
      </c>
      <c r="I64" s="28">
        <f>G64*AO64</f>
        <v>0</v>
      </c>
      <c r="J64" s="28">
        <f>G64*AP64</f>
        <v>0</v>
      </c>
      <c r="K64" s="28">
        <f>G64*H64</f>
        <v>0</v>
      </c>
      <c r="L64" s="28">
        <v>2.74228</v>
      </c>
      <c r="M64" s="28">
        <f>G64*L64</f>
        <v>8.22684</v>
      </c>
      <c r="N64" s="45" t="s">
        <v>485</v>
      </c>
      <c r="O64" s="6"/>
      <c r="Z64" s="51">
        <f>IF(AQ64="5",BJ64,0)</f>
        <v>0</v>
      </c>
      <c r="AB64" s="51">
        <f>IF(AQ64="1",BH64,0)</f>
        <v>0</v>
      </c>
      <c r="AC64" s="51">
        <f>IF(AQ64="1",BI64,0)</f>
        <v>0</v>
      </c>
      <c r="AD64" s="51">
        <f>IF(AQ64="7",BH64,0)</f>
        <v>0</v>
      </c>
      <c r="AE64" s="51">
        <f>IF(AQ64="7",BI64,0)</f>
        <v>0</v>
      </c>
      <c r="AF64" s="51">
        <f>IF(AQ64="2",BH64,0)</f>
        <v>0</v>
      </c>
      <c r="AG64" s="51">
        <f>IF(AQ64="2",BI64,0)</f>
        <v>0</v>
      </c>
      <c r="AH64" s="51">
        <f>IF(AQ64="0",BJ64,0)</f>
        <v>0</v>
      </c>
      <c r="AI64" s="39" t="s">
        <v>132</v>
      </c>
      <c r="AJ64" s="28">
        <f>IF(AN64=0,K64,0)</f>
        <v>0</v>
      </c>
      <c r="AK64" s="28">
        <f>IF(AN64=15,K64,0)</f>
        <v>0</v>
      </c>
      <c r="AL64" s="28">
        <f>IF(AN64=21,K64,0)</f>
        <v>0</v>
      </c>
      <c r="AN64" s="51">
        <v>21</v>
      </c>
      <c r="AO64" s="51">
        <f>H64*0.02363</f>
        <v>0</v>
      </c>
      <c r="AP64" s="51">
        <f>H64*(1-0.02363)</f>
        <v>0</v>
      </c>
      <c r="AQ64" s="52" t="s">
        <v>7</v>
      </c>
      <c r="AV64" s="51">
        <f>AW64+AX64</f>
        <v>0</v>
      </c>
      <c r="AW64" s="51">
        <f>G64*AO64</f>
        <v>0</v>
      </c>
      <c r="AX64" s="51">
        <f>G64*AP64</f>
        <v>0</v>
      </c>
      <c r="AY64" s="54" t="s">
        <v>510</v>
      </c>
      <c r="AZ64" s="54" t="s">
        <v>531</v>
      </c>
      <c r="BA64" s="39" t="s">
        <v>551</v>
      </c>
      <c r="BC64" s="51">
        <f>AW64+AX64</f>
        <v>0</v>
      </c>
      <c r="BD64" s="51">
        <f>H64/(100-BE64)*100</f>
        <v>0</v>
      </c>
      <c r="BE64" s="51">
        <v>0</v>
      </c>
      <c r="BF64" s="51">
        <f>M64</f>
        <v>8.22684</v>
      </c>
      <c r="BH64" s="28">
        <f>G64*AO64</f>
        <v>0</v>
      </c>
      <c r="BI64" s="28">
        <f>G64*AP64</f>
        <v>0</v>
      </c>
      <c r="BJ64" s="28">
        <f>G64*H64</f>
        <v>0</v>
      </c>
      <c r="BK64" s="28" t="s">
        <v>561</v>
      </c>
      <c r="BL64" s="51">
        <v>93</v>
      </c>
    </row>
    <row r="65" spans="1:47" ht="12.75">
      <c r="A65" s="4"/>
      <c r="B65" s="15" t="s">
        <v>132</v>
      </c>
      <c r="C65" s="15" t="s">
        <v>166</v>
      </c>
      <c r="D65" s="166" t="s">
        <v>307</v>
      </c>
      <c r="E65" s="167"/>
      <c r="F65" s="25" t="s">
        <v>6</v>
      </c>
      <c r="G65" s="25" t="s">
        <v>6</v>
      </c>
      <c r="H65" s="25" t="s">
        <v>6</v>
      </c>
      <c r="I65" s="57">
        <f>SUM(I66:I66)</f>
        <v>0</v>
      </c>
      <c r="J65" s="57">
        <f>SUM(J66:J66)</f>
        <v>0</v>
      </c>
      <c r="K65" s="57">
        <f>SUM(K66:K66)</f>
        <v>0</v>
      </c>
      <c r="L65" s="39"/>
      <c r="M65" s="57">
        <f>SUM(M66:M66)</f>
        <v>0</v>
      </c>
      <c r="N65" s="44"/>
      <c r="O65" s="6"/>
      <c r="AI65" s="39" t="s">
        <v>132</v>
      </c>
      <c r="AS65" s="57">
        <f>SUM(AJ66:AJ66)</f>
        <v>0</v>
      </c>
      <c r="AT65" s="57">
        <f>SUM(AK66:AK66)</f>
        <v>0</v>
      </c>
      <c r="AU65" s="57">
        <f>SUM(AL66:AL66)</f>
        <v>0</v>
      </c>
    </row>
    <row r="66" spans="1:64" ht="12.75">
      <c r="A66" s="5" t="s">
        <v>33</v>
      </c>
      <c r="B66" s="16" t="s">
        <v>132</v>
      </c>
      <c r="C66" s="16" t="s">
        <v>167</v>
      </c>
      <c r="D66" s="161" t="s">
        <v>308</v>
      </c>
      <c r="E66" s="162"/>
      <c r="F66" s="16" t="s">
        <v>462</v>
      </c>
      <c r="G66" s="28">
        <v>3989.252</v>
      </c>
      <c r="H66" s="28">
        <v>0</v>
      </c>
      <c r="I66" s="28">
        <f>G66*AO66</f>
        <v>0</v>
      </c>
      <c r="J66" s="28">
        <f>G66*AP66</f>
        <v>0</v>
      </c>
      <c r="K66" s="28">
        <f>G66*H66</f>
        <v>0</v>
      </c>
      <c r="L66" s="28">
        <v>0</v>
      </c>
      <c r="M66" s="28">
        <f>G66*L66</f>
        <v>0</v>
      </c>
      <c r="N66" s="45" t="s">
        <v>484</v>
      </c>
      <c r="O66" s="6"/>
      <c r="Z66" s="51">
        <f>IF(AQ66="5",BJ66,0)</f>
        <v>0</v>
      </c>
      <c r="AB66" s="51">
        <f>IF(AQ66="1",BH66,0)</f>
        <v>0</v>
      </c>
      <c r="AC66" s="51">
        <f>IF(AQ66="1",BI66,0)</f>
        <v>0</v>
      </c>
      <c r="AD66" s="51">
        <f>IF(AQ66="7",BH66,0)</f>
        <v>0</v>
      </c>
      <c r="AE66" s="51">
        <f>IF(AQ66="7",BI66,0)</f>
        <v>0</v>
      </c>
      <c r="AF66" s="51">
        <f>IF(AQ66="2",BH66,0)</f>
        <v>0</v>
      </c>
      <c r="AG66" s="51">
        <f>IF(AQ66="2",BI66,0)</f>
        <v>0</v>
      </c>
      <c r="AH66" s="51">
        <f>IF(AQ66="0",BJ66,0)</f>
        <v>0</v>
      </c>
      <c r="AI66" s="39" t="s">
        <v>132</v>
      </c>
      <c r="AJ66" s="28">
        <f>IF(AN66=0,K66,0)</f>
        <v>0</v>
      </c>
      <c r="AK66" s="28">
        <f>IF(AN66=15,K66,0)</f>
        <v>0</v>
      </c>
      <c r="AL66" s="28">
        <f>IF(AN66=21,K66,0)</f>
        <v>0</v>
      </c>
      <c r="AN66" s="51">
        <v>21</v>
      </c>
      <c r="AO66" s="51">
        <f>H66*0</f>
        <v>0</v>
      </c>
      <c r="AP66" s="51">
        <f>H66*(1-0)</f>
        <v>0</v>
      </c>
      <c r="AQ66" s="52" t="s">
        <v>11</v>
      </c>
      <c r="AV66" s="51">
        <f>AW66+AX66</f>
        <v>0</v>
      </c>
      <c r="AW66" s="51">
        <f>G66*AO66</f>
        <v>0</v>
      </c>
      <c r="AX66" s="51">
        <f>G66*AP66</f>
        <v>0</v>
      </c>
      <c r="AY66" s="54" t="s">
        <v>511</v>
      </c>
      <c r="AZ66" s="54" t="s">
        <v>531</v>
      </c>
      <c r="BA66" s="39" t="s">
        <v>551</v>
      </c>
      <c r="BC66" s="51">
        <f>AW66+AX66</f>
        <v>0</v>
      </c>
      <c r="BD66" s="51">
        <f>H66/(100-BE66)*100</f>
        <v>0</v>
      </c>
      <c r="BE66" s="51">
        <v>0</v>
      </c>
      <c r="BF66" s="51">
        <f>M66</f>
        <v>0</v>
      </c>
      <c r="BH66" s="28">
        <f>G66*AO66</f>
        <v>0</v>
      </c>
      <c r="BI66" s="28">
        <f>G66*AP66</f>
        <v>0</v>
      </c>
      <c r="BJ66" s="28">
        <f>G66*H66</f>
        <v>0</v>
      </c>
      <c r="BK66" s="28" t="s">
        <v>561</v>
      </c>
      <c r="BL66" s="51" t="s">
        <v>166</v>
      </c>
    </row>
    <row r="67" spans="1:15" ht="12.75">
      <c r="A67" s="7"/>
      <c r="B67" s="17" t="s">
        <v>133</v>
      </c>
      <c r="C67" s="17"/>
      <c r="D67" s="173" t="s">
        <v>309</v>
      </c>
      <c r="E67" s="174"/>
      <c r="F67" s="26" t="s">
        <v>6</v>
      </c>
      <c r="G67" s="26" t="s">
        <v>6</v>
      </c>
      <c r="H67" s="26" t="s">
        <v>6</v>
      </c>
      <c r="I67" s="58">
        <f>I68+I70+I75</f>
        <v>0</v>
      </c>
      <c r="J67" s="58">
        <f>J68+J70+J75</f>
        <v>0</v>
      </c>
      <c r="K67" s="58">
        <f>K68+K70+K75</f>
        <v>0</v>
      </c>
      <c r="L67" s="40"/>
      <c r="M67" s="58">
        <f>M68+M70+M75</f>
        <v>0.45833999999999997</v>
      </c>
      <c r="N67" s="46"/>
      <c r="O67" s="6"/>
    </row>
    <row r="68" spans="1:47" ht="12.75">
      <c r="A68" s="4"/>
      <c r="B68" s="15" t="s">
        <v>133</v>
      </c>
      <c r="C68" s="15" t="s">
        <v>19</v>
      </c>
      <c r="D68" s="166" t="s">
        <v>310</v>
      </c>
      <c r="E68" s="167"/>
      <c r="F68" s="25" t="s">
        <v>6</v>
      </c>
      <c r="G68" s="25" t="s">
        <v>6</v>
      </c>
      <c r="H68" s="25" t="s">
        <v>6</v>
      </c>
      <c r="I68" s="57">
        <f>SUM(I69:I69)</f>
        <v>0</v>
      </c>
      <c r="J68" s="57">
        <f>SUM(J69:J69)</f>
        <v>0</v>
      </c>
      <c r="K68" s="57">
        <f>SUM(K69:K69)</f>
        <v>0</v>
      </c>
      <c r="L68" s="39"/>
      <c r="M68" s="57">
        <f>SUM(M69:M69)</f>
        <v>0</v>
      </c>
      <c r="N68" s="44"/>
      <c r="O68" s="6"/>
      <c r="AI68" s="39" t="s">
        <v>133</v>
      </c>
      <c r="AS68" s="57">
        <f>SUM(AJ69:AJ69)</f>
        <v>0</v>
      </c>
      <c r="AT68" s="57">
        <f>SUM(AK69:AK69)</f>
        <v>0</v>
      </c>
      <c r="AU68" s="57">
        <f>SUM(AL69:AL69)</f>
        <v>0</v>
      </c>
    </row>
    <row r="69" spans="1:64" ht="12.75">
      <c r="A69" s="5" t="s">
        <v>34</v>
      </c>
      <c r="B69" s="16" t="s">
        <v>133</v>
      </c>
      <c r="C69" s="16" t="s">
        <v>168</v>
      </c>
      <c r="D69" s="161" t="s">
        <v>311</v>
      </c>
      <c r="E69" s="162"/>
      <c r="F69" s="16" t="s">
        <v>458</v>
      </c>
      <c r="G69" s="28">
        <v>2</v>
      </c>
      <c r="H69" s="28">
        <v>0</v>
      </c>
      <c r="I69" s="28">
        <f>G69*AO69</f>
        <v>0</v>
      </c>
      <c r="J69" s="28">
        <f>G69*AP69</f>
        <v>0</v>
      </c>
      <c r="K69" s="28">
        <f>G69*H69</f>
        <v>0</v>
      </c>
      <c r="L69" s="28">
        <v>0</v>
      </c>
      <c r="M69" s="28">
        <f>G69*L69</f>
        <v>0</v>
      </c>
      <c r="N69" s="45" t="s">
        <v>484</v>
      </c>
      <c r="O69" s="6"/>
      <c r="Z69" s="51">
        <f>IF(AQ69="5",BJ69,0)</f>
        <v>0</v>
      </c>
      <c r="AB69" s="51">
        <f>IF(AQ69="1",BH69,0)</f>
        <v>0</v>
      </c>
      <c r="AC69" s="51">
        <f>IF(AQ69="1",BI69,0)</f>
        <v>0</v>
      </c>
      <c r="AD69" s="51">
        <f>IF(AQ69="7",BH69,0)</f>
        <v>0</v>
      </c>
      <c r="AE69" s="51">
        <f>IF(AQ69="7",BI69,0)</f>
        <v>0</v>
      </c>
      <c r="AF69" s="51">
        <f>IF(AQ69="2",BH69,0)</f>
        <v>0</v>
      </c>
      <c r="AG69" s="51">
        <f>IF(AQ69="2",BI69,0)</f>
        <v>0</v>
      </c>
      <c r="AH69" s="51">
        <f>IF(AQ69="0",BJ69,0)</f>
        <v>0</v>
      </c>
      <c r="AI69" s="39" t="s">
        <v>133</v>
      </c>
      <c r="AJ69" s="28">
        <f>IF(AN69=0,K69,0)</f>
        <v>0</v>
      </c>
      <c r="AK69" s="28">
        <f>IF(AN69=15,K69,0)</f>
        <v>0</v>
      </c>
      <c r="AL69" s="28">
        <f>IF(AN69=21,K69,0)</f>
        <v>0</v>
      </c>
      <c r="AN69" s="51">
        <v>21</v>
      </c>
      <c r="AO69" s="51">
        <f>H69*0</f>
        <v>0</v>
      </c>
      <c r="AP69" s="51">
        <f>H69*(1-0)</f>
        <v>0</v>
      </c>
      <c r="AQ69" s="52" t="s">
        <v>7</v>
      </c>
      <c r="AV69" s="51">
        <f>AW69+AX69</f>
        <v>0</v>
      </c>
      <c r="AW69" s="51">
        <f>G69*AO69</f>
        <v>0</v>
      </c>
      <c r="AX69" s="51">
        <f>G69*AP69</f>
        <v>0</v>
      </c>
      <c r="AY69" s="54" t="s">
        <v>512</v>
      </c>
      <c r="AZ69" s="54" t="s">
        <v>532</v>
      </c>
      <c r="BA69" s="39" t="s">
        <v>552</v>
      </c>
      <c r="BC69" s="51">
        <f>AW69+AX69</f>
        <v>0</v>
      </c>
      <c r="BD69" s="51">
        <f>H69/(100-BE69)*100</f>
        <v>0</v>
      </c>
      <c r="BE69" s="51">
        <v>0</v>
      </c>
      <c r="BF69" s="51">
        <f>M69</f>
        <v>0</v>
      </c>
      <c r="BH69" s="28">
        <f>G69*AO69</f>
        <v>0</v>
      </c>
      <c r="BI69" s="28">
        <f>G69*AP69</f>
        <v>0</v>
      </c>
      <c r="BJ69" s="28">
        <f>G69*H69</f>
        <v>0</v>
      </c>
      <c r="BK69" s="28" t="s">
        <v>561</v>
      </c>
      <c r="BL69" s="51">
        <v>13</v>
      </c>
    </row>
    <row r="70" spans="1:47" ht="12.75">
      <c r="A70" s="4"/>
      <c r="B70" s="15" t="s">
        <v>133</v>
      </c>
      <c r="C70" s="15" t="s">
        <v>39</v>
      </c>
      <c r="D70" s="166" t="s">
        <v>312</v>
      </c>
      <c r="E70" s="167"/>
      <c r="F70" s="25" t="s">
        <v>6</v>
      </c>
      <c r="G70" s="25" t="s">
        <v>6</v>
      </c>
      <c r="H70" s="25" t="s">
        <v>6</v>
      </c>
      <c r="I70" s="57">
        <f>SUM(I71:I74)</f>
        <v>0</v>
      </c>
      <c r="J70" s="57">
        <f>SUM(J71:J74)</f>
        <v>0</v>
      </c>
      <c r="K70" s="57">
        <f>SUM(K71:K74)</f>
        <v>0</v>
      </c>
      <c r="L70" s="39"/>
      <c r="M70" s="57">
        <f>SUM(M71:M74)</f>
        <v>0.28834</v>
      </c>
      <c r="N70" s="44"/>
      <c r="O70" s="6"/>
      <c r="AI70" s="39" t="s">
        <v>133</v>
      </c>
      <c r="AS70" s="57">
        <f>SUM(AJ71:AJ74)</f>
        <v>0</v>
      </c>
      <c r="AT70" s="57">
        <f>SUM(AK71:AK74)</f>
        <v>0</v>
      </c>
      <c r="AU70" s="57">
        <f>SUM(AL71:AL74)</f>
        <v>0</v>
      </c>
    </row>
    <row r="71" spans="1:64" ht="12.75">
      <c r="A71" s="5" t="s">
        <v>35</v>
      </c>
      <c r="B71" s="16" t="s">
        <v>133</v>
      </c>
      <c r="C71" s="16" t="s">
        <v>169</v>
      </c>
      <c r="D71" s="161" t="s">
        <v>313</v>
      </c>
      <c r="E71" s="162"/>
      <c r="F71" s="16" t="s">
        <v>458</v>
      </c>
      <c r="G71" s="28">
        <v>2</v>
      </c>
      <c r="H71" s="28">
        <v>0</v>
      </c>
      <c r="I71" s="28">
        <f>G71*AO71</f>
        <v>0</v>
      </c>
      <c r="J71" s="28">
        <f>G71*AP71</f>
        <v>0</v>
      </c>
      <c r="K71" s="28">
        <f>G71*H71</f>
        <v>0</v>
      </c>
      <c r="L71" s="28">
        <v>0.125</v>
      </c>
      <c r="M71" s="28">
        <f>G71*L71</f>
        <v>0.25</v>
      </c>
      <c r="N71" s="45" t="s">
        <v>484</v>
      </c>
      <c r="O71" s="6"/>
      <c r="Z71" s="51">
        <f>IF(AQ71="5",BJ71,0)</f>
        <v>0</v>
      </c>
      <c r="AB71" s="51">
        <f>IF(AQ71="1",BH71,0)</f>
        <v>0</v>
      </c>
      <c r="AC71" s="51">
        <f>IF(AQ71="1",BI71,0)</f>
        <v>0</v>
      </c>
      <c r="AD71" s="51">
        <f>IF(AQ71="7",BH71,0)</f>
        <v>0</v>
      </c>
      <c r="AE71" s="51">
        <f>IF(AQ71="7",BI71,0)</f>
        <v>0</v>
      </c>
      <c r="AF71" s="51">
        <f>IF(AQ71="2",BH71,0)</f>
        <v>0</v>
      </c>
      <c r="AG71" s="51">
        <f>IF(AQ71="2",BI71,0)</f>
        <v>0</v>
      </c>
      <c r="AH71" s="51">
        <f>IF(AQ71="0",BJ71,0)</f>
        <v>0</v>
      </c>
      <c r="AI71" s="39" t="s">
        <v>133</v>
      </c>
      <c r="AJ71" s="28">
        <f>IF(AN71=0,K71,0)</f>
        <v>0</v>
      </c>
      <c r="AK71" s="28">
        <f>IF(AN71=15,K71,0)</f>
        <v>0</v>
      </c>
      <c r="AL71" s="28">
        <f>IF(AN71=21,K71,0)</f>
        <v>0</v>
      </c>
      <c r="AN71" s="51">
        <v>21</v>
      </c>
      <c r="AO71" s="51">
        <f>H71*0.366844919786096</f>
        <v>0</v>
      </c>
      <c r="AP71" s="51">
        <f>H71*(1-0.366844919786096)</f>
        <v>0</v>
      </c>
      <c r="AQ71" s="52" t="s">
        <v>7</v>
      </c>
      <c r="AV71" s="51">
        <f>AW71+AX71</f>
        <v>0</v>
      </c>
      <c r="AW71" s="51">
        <f>G71*AO71</f>
        <v>0</v>
      </c>
      <c r="AX71" s="51">
        <f>G71*AP71</f>
        <v>0</v>
      </c>
      <c r="AY71" s="54" t="s">
        <v>513</v>
      </c>
      <c r="AZ71" s="54" t="s">
        <v>533</v>
      </c>
      <c r="BA71" s="39" t="s">
        <v>552</v>
      </c>
      <c r="BC71" s="51">
        <f>AW71+AX71</f>
        <v>0</v>
      </c>
      <c r="BD71" s="51">
        <f>H71/(100-BE71)*100</f>
        <v>0</v>
      </c>
      <c r="BE71" s="51">
        <v>0</v>
      </c>
      <c r="BF71" s="51">
        <f>M71</f>
        <v>0.25</v>
      </c>
      <c r="BH71" s="28">
        <f>G71*AO71</f>
        <v>0</v>
      </c>
      <c r="BI71" s="28">
        <f>G71*AP71</f>
        <v>0</v>
      </c>
      <c r="BJ71" s="28">
        <f>G71*H71</f>
        <v>0</v>
      </c>
      <c r="BK71" s="28" t="s">
        <v>561</v>
      </c>
      <c r="BL71" s="51">
        <v>33</v>
      </c>
    </row>
    <row r="72" spans="1:64" ht="12.75">
      <c r="A72" s="8" t="s">
        <v>36</v>
      </c>
      <c r="B72" s="18" t="s">
        <v>133</v>
      </c>
      <c r="C72" s="18" t="s">
        <v>170</v>
      </c>
      <c r="D72" s="175" t="s">
        <v>314</v>
      </c>
      <c r="E72" s="176"/>
      <c r="F72" s="18" t="s">
        <v>461</v>
      </c>
      <c r="G72" s="30">
        <v>6</v>
      </c>
      <c r="H72" s="30">
        <v>0</v>
      </c>
      <c r="I72" s="30">
        <f>G72*AO72</f>
        <v>0</v>
      </c>
      <c r="J72" s="30">
        <f>G72*AP72</f>
        <v>0</v>
      </c>
      <c r="K72" s="30">
        <f>G72*H72</f>
        <v>0</v>
      </c>
      <c r="L72" s="30">
        <v>0.00639</v>
      </c>
      <c r="M72" s="30">
        <f>G72*L72</f>
        <v>0.03834</v>
      </c>
      <c r="N72" s="48" t="s">
        <v>484</v>
      </c>
      <c r="O72" s="6"/>
      <c r="Z72" s="51">
        <f>IF(AQ72="5",BJ72,0)</f>
        <v>0</v>
      </c>
      <c r="AB72" s="51">
        <f>IF(AQ72="1",BH72,0)</f>
        <v>0</v>
      </c>
      <c r="AC72" s="51">
        <f>IF(AQ72="1",BI72,0)</f>
        <v>0</v>
      </c>
      <c r="AD72" s="51">
        <f>IF(AQ72="7",BH72,0)</f>
        <v>0</v>
      </c>
      <c r="AE72" s="51">
        <f>IF(AQ72="7",BI72,0)</f>
        <v>0</v>
      </c>
      <c r="AF72" s="51">
        <f>IF(AQ72="2",BH72,0)</f>
        <v>0</v>
      </c>
      <c r="AG72" s="51">
        <f>IF(AQ72="2",BI72,0)</f>
        <v>0</v>
      </c>
      <c r="AH72" s="51">
        <f>IF(AQ72="0",BJ72,0)</f>
        <v>0</v>
      </c>
      <c r="AI72" s="39" t="s">
        <v>133</v>
      </c>
      <c r="AJ72" s="30">
        <f>IF(AN72=0,K72,0)</f>
        <v>0</v>
      </c>
      <c r="AK72" s="30">
        <f>IF(AN72=15,K72,0)</f>
        <v>0</v>
      </c>
      <c r="AL72" s="30">
        <f>IF(AN72=21,K72,0)</f>
        <v>0</v>
      </c>
      <c r="AN72" s="51">
        <v>21</v>
      </c>
      <c r="AO72" s="51">
        <f>H72*1</f>
        <v>0</v>
      </c>
      <c r="AP72" s="51">
        <f>H72*(1-1)</f>
        <v>0</v>
      </c>
      <c r="AQ72" s="53" t="s">
        <v>7</v>
      </c>
      <c r="AV72" s="51">
        <f>AW72+AX72</f>
        <v>0</v>
      </c>
      <c r="AW72" s="51">
        <f>G72*AO72</f>
        <v>0</v>
      </c>
      <c r="AX72" s="51">
        <f>G72*AP72</f>
        <v>0</v>
      </c>
      <c r="AY72" s="54" t="s">
        <v>513</v>
      </c>
      <c r="AZ72" s="54" t="s">
        <v>533</v>
      </c>
      <c r="BA72" s="39" t="s">
        <v>552</v>
      </c>
      <c r="BC72" s="51">
        <f>AW72+AX72</f>
        <v>0</v>
      </c>
      <c r="BD72" s="51">
        <f>H72/(100-BE72)*100</f>
        <v>0</v>
      </c>
      <c r="BE72" s="51">
        <v>0</v>
      </c>
      <c r="BF72" s="51">
        <f>M72</f>
        <v>0.03834</v>
      </c>
      <c r="BH72" s="30">
        <f>G72*AO72</f>
        <v>0</v>
      </c>
      <c r="BI72" s="30">
        <f>G72*AP72</f>
        <v>0</v>
      </c>
      <c r="BJ72" s="30">
        <f>G72*H72</f>
        <v>0</v>
      </c>
      <c r="BK72" s="30" t="s">
        <v>562</v>
      </c>
      <c r="BL72" s="51">
        <v>33</v>
      </c>
    </row>
    <row r="73" spans="1:15" ht="12.75">
      <c r="A73" s="6"/>
      <c r="D73" s="21" t="s">
        <v>315</v>
      </c>
      <c r="E73" s="22"/>
      <c r="G73" s="29">
        <v>6</v>
      </c>
      <c r="N73" s="47"/>
      <c r="O73" s="6"/>
    </row>
    <row r="74" spans="1:64" ht="12.75">
      <c r="A74" s="8" t="s">
        <v>37</v>
      </c>
      <c r="B74" s="18" t="s">
        <v>133</v>
      </c>
      <c r="C74" s="18" t="s">
        <v>171</v>
      </c>
      <c r="D74" s="175" t="s">
        <v>316</v>
      </c>
      <c r="E74" s="176"/>
      <c r="F74" s="18" t="s">
        <v>463</v>
      </c>
      <c r="G74" s="30">
        <v>0.0383</v>
      </c>
      <c r="H74" s="30">
        <v>0</v>
      </c>
      <c r="I74" s="30">
        <f>G74*AO74</f>
        <v>0</v>
      </c>
      <c r="J74" s="30">
        <f>G74*AP74</f>
        <v>0</v>
      </c>
      <c r="K74" s="30">
        <f>G74*H74</f>
        <v>0</v>
      </c>
      <c r="L74" s="30">
        <v>0</v>
      </c>
      <c r="M74" s="30">
        <f>G74*L74</f>
        <v>0</v>
      </c>
      <c r="N74" s="48" t="s">
        <v>484</v>
      </c>
      <c r="O74" s="6"/>
      <c r="Z74" s="51">
        <f>IF(AQ74="5",BJ74,0)</f>
        <v>0</v>
      </c>
      <c r="AB74" s="51">
        <f>IF(AQ74="1",BH74,0)</f>
        <v>0</v>
      </c>
      <c r="AC74" s="51">
        <f>IF(AQ74="1",BI74,0)</f>
        <v>0</v>
      </c>
      <c r="AD74" s="51">
        <f>IF(AQ74="7",BH74,0)</f>
        <v>0</v>
      </c>
      <c r="AE74" s="51">
        <f>IF(AQ74="7",BI74,0)</f>
        <v>0</v>
      </c>
      <c r="AF74" s="51">
        <f>IF(AQ74="2",BH74,0)</f>
        <v>0</v>
      </c>
      <c r="AG74" s="51">
        <f>IF(AQ74="2",BI74,0)</f>
        <v>0</v>
      </c>
      <c r="AH74" s="51">
        <f>IF(AQ74="0",BJ74,0)</f>
        <v>0</v>
      </c>
      <c r="AI74" s="39" t="s">
        <v>133</v>
      </c>
      <c r="AJ74" s="30">
        <f>IF(AN74=0,K74,0)</f>
        <v>0</v>
      </c>
      <c r="AK74" s="30">
        <f>IF(AN74=15,K74,0)</f>
        <v>0</v>
      </c>
      <c r="AL74" s="30">
        <f>IF(AN74=21,K74,0)</f>
        <v>0</v>
      </c>
      <c r="AN74" s="51">
        <v>21</v>
      </c>
      <c r="AO74" s="51">
        <f>H74*1</f>
        <v>0</v>
      </c>
      <c r="AP74" s="51">
        <f>H74*(1-1)</f>
        <v>0</v>
      </c>
      <c r="AQ74" s="53" t="s">
        <v>7</v>
      </c>
      <c r="AV74" s="51">
        <f>AW74+AX74</f>
        <v>0</v>
      </c>
      <c r="AW74" s="51">
        <f>G74*AO74</f>
        <v>0</v>
      </c>
      <c r="AX74" s="51">
        <f>G74*AP74</f>
        <v>0</v>
      </c>
      <c r="AY74" s="54" t="s">
        <v>513</v>
      </c>
      <c r="AZ74" s="54" t="s">
        <v>533</v>
      </c>
      <c r="BA74" s="39" t="s">
        <v>552</v>
      </c>
      <c r="BC74" s="51">
        <f>AW74+AX74</f>
        <v>0</v>
      </c>
      <c r="BD74" s="51">
        <f>H74/(100-BE74)*100</f>
        <v>0</v>
      </c>
      <c r="BE74" s="51">
        <v>0</v>
      </c>
      <c r="BF74" s="51">
        <f>M74</f>
        <v>0</v>
      </c>
      <c r="BH74" s="30">
        <f>G74*AO74</f>
        <v>0</v>
      </c>
      <c r="BI74" s="30">
        <f>G74*AP74</f>
        <v>0</v>
      </c>
      <c r="BJ74" s="30">
        <f>G74*H74</f>
        <v>0</v>
      </c>
      <c r="BK74" s="30" t="s">
        <v>562</v>
      </c>
      <c r="BL74" s="51">
        <v>33</v>
      </c>
    </row>
    <row r="75" spans="1:47" ht="12.75">
      <c r="A75" s="4"/>
      <c r="B75" s="15" t="s">
        <v>133</v>
      </c>
      <c r="C75" s="15" t="s">
        <v>172</v>
      </c>
      <c r="D75" s="166" t="s">
        <v>317</v>
      </c>
      <c r="E75" s="167"/>
      <c r="F75" s="25" t="s">
        <v>6</v>
      </c>
      <c r="G75" s="25" t="s">
        <v>6</v>
      </c>
      <c r="H75" s="25" t="s">
        <v>6</v>
      </c>
      <c r="I75" s="57">
        <f>SUM(I76:I79)</f>
        <v>0</v>
      </c>
      <c r="J75" s="57">
        <f>SUM(J76:J79)</f>
        <v>0</v>
      </c>
      <c r="K75" s="57">
        <f>SUM(K76:K79)</f>
        <v>0</v>
      </c>
      <c r="L75" s="39"/>
      <c r="M75" s="57">
        <f>SUM(M76:M79)</f>
        <v>0.17</v>
      </c>
      <c r="N75" s="44"/>
      <c r="O75" s="6"/>
      <c r="AI75" s="39" t="s">
        <v>133</v>
      </c>
      <c r="AS75" s="57">
        <f>SUM(AJ76:AJ79)</f>
        <v>0</v>
      </c>
      <c r="AT75" s="57">
        <f>SUM(AK76:AK79)</f>
        <v>0</v>
      </c>
      <c r="AU75" s="57">
        <f>SUM(AL76:AL79)</f>
        <v>0</v>
      </c>
    </row>
    <row r="76" spans="1:64" ht="12.75">
      <c r="A76" s="5" t="s">
        <v>38</v>
      </c>
      <c r="B76" s="16" t="s">
        <v>133</v>
      </c>
      <c r="C76" s="16" t="s">
        <v>173</v>
      </c>
      <c r="D76" s="161" t="s">
        <v>318</v>
      </c>
      <c r="E76" s="162"/>
      <c r="F76" s="16" t="s">
        <v>458</v>
      </c>
      <c r="G76" s="28">
        <v>1</v>
      </c>
      <c r="H76" s="28">
        <v>0</v>
      </c>
      <c r="I76" s="28">
        <f>G76*AO76</f>
        <v>0</v>
      </c>
      <c r="J76" s="28">
        <f>G76*AP76</f>
        <v>0</v>
      </c>
      <c r="K76" s="28">
        <f>G76*H76</f>
        <v>0</v>
      </c>
      <c r="L76" s="28">
        <v>0</v>
      </c>
      <c r="M76" s="28">
        <f>G76*L76</f>
        <v>0</v>
      </c>
      <c r="N76" s="45" t="s">
        <v>484</v>
      </c>
      <c r="O76" s="6"/>
      <c r="Z76" s="51">
        <f>IF(AQ76="5",BJ76,0)</f>
        <v>0</v>
      </c>
      <c r="AB76" s="51">
        <f>IF(AQ76="1",BH76,0)</f>
        <v>0</v>
      </c>
      <c r="AC76" s="51">
        <f>IF(AQ76="1",BI76,0)</f>
        <v>0</v>
      </c>
      <c r="AD76" s="51">
        <f>IF(AQ76="7",BH76,0)</f>
        <v>0</v>
      </c>
      <c r="AE76" s="51">
        <f>IF(AQ76="7",BI76,0)</f>
        <v>0</v>
      </c>
      <c r="AF76" s="51">
        <f>IF(AQ76="2",BH76,0)</f>
        <v>0</v>
      </c>
      <c r="AG76" s="51">
        <f>IF(AQ76="2",BI76,0)</f>
        <v>0</v>
      </c>
      <c r="AH76" s="51">
        <f>IF(AQ76="0",BJ76,0)</f>
        <v>0</v>
      </c>
      <c r="AI76" s="39" t="s">
        <v>133</v>
      </c>
      <c r="AJ76" s="28">
        <f>IF(AN76=0,K76,0)</f>
        <v>0</v>
      </c>
      <c r="AK76" s="28">
        <f>IF(AN76=15,K76,0)</f>
        <v>0</v>
      </c>
      <c r="AL76" s="28">
        <f>IF(AN76=21,K76,0)</f>
        <v>0</v>
      </c>
      <c r="AN76" s="51">
        <v>21</v>
      </c>
      <c r="AO76" s="51">
        <f>H76*0</f>
        <v>0</v>
      </c>
      <c r="AP76" s="51">
        <f>H76*(1-0)</f>
        <v>0</v>
      </c>
      <c r="AQ76" s="52" t="s">
        <v>13</v>
      </c>
      <c r="AV76" s="51">
        <f>AW76+AX76</f>
        <v>0</v>
      </c>
      <c r="AW76" s="51">
        <f>G76*AO76</f>
        <v>0</v>
      </c>
      <c r="AX76" s="51">
        <f>G76*AP76</f>
        <v>0</v>
      </c>
      <c r="AY76" s="54" t="s">
        <v>514</v>
      </c>
      <c r="AZ76" s="54" t="s">
        <v>534</v>
      </c>
      <c r="BA76" s="39" t="s">
        <v>552</v>
      </c>
      <c r="BC76" s="51">
        <f>AW76+AX76</f>
        <v>0</v>
      </c>
      <c r="BD76" s="51">
        <f>H76/(100-BE76)*100</f>
        <v>0</v>
      </c>
      <c r="BE76" s="51">
        <v>0</v>
      </c>
      <c r="BF76" s="51">
        <f>M76</f>
        <v>0</v>
      </c>
      <c r="BH76" s="28">
        <f>G76*AO76</f>
        <v>0</v>
      </c>
      <c r="BI76" s="28">
        <f>G76*AP76</f>
        <v>0</v>
      </c>
      <c r="BJ76" s="28">
        <f>G76*H76</f>
        <v>0</v>
      </c>
      <c r="BK76" s="28" t="s">
        <v>561</v>
      </c>
      <c r="BL76" s="51">
        <v>767</v>
      </c>
    </row>
    <row r="77" spans="1:15" ht="12.75">
      <c r="A77" s="6"/>
      <c r="C77" s="20" t="s">
        <v>141</v>
      </c>
      <c r="D77" s="163" t="s">
        <v>319</v>
      </c>
      <c r="E77" s="164"/>
      <c r="F77" s="164"/>
      <c r="G77" s="164"/>
      <c r="H77" s="164"/>
      <c r="I77" s="164"/>
      <c r="J77" s="164"/>
      <c r="K77" s="164"/>
      <c r="L77" s="164"/>
      <c r="M77" s="164"/>
      <c r="N77" s="165"/>
      <c r="O77" s="6"/>
    </row>
    <row r="78" spans="1:64" ht="12.75">
      <c r="A78" s="8" t="s">
        <v>39</v>
      </c>
      <c r="B78" s="18" t="s">
        <v>133</v>
      </c>
      <c r="C78" s="18" t="s">
        <v>174</v>
      </c>
      <c r="D78" s="175" t="s">
        <v>320</v>
      </c>
      <c r="E78" s="176"/>
      <c r="F78" s="18" t="s">
        <v>458</v>
      </c>
      <c r="G78" s="30">
        <v>1</v>
      </c>
      <c r="H78" s="30">
        <v>0</v>
      </c>
      <c r="I78" s="30">
        <f>G78*AO78</f>
        <v>0</v>
      </c>
      <c r="J78" s="30">
        <f>G78*AP78</f>
        <v>0</v>
      </c>
      <c r="K78" s="30">
        <f>G78*H78</f>
        <v>0</v>
      </c>
      <c r="L78" s="30">
        <v>0.17</v>
      </c>
      <c r="M78" s="30">
        <f>G78*L78</f>
        <v>0.17</v>
      </c>
      <c r="N78" s="48" t="s">
        <v>486</v>
      </c>
      <c r="O78" s="6"/>
      <c r="Z78" s="51">
        <f>IF(AQ78="5",BJ78,0)</f>
        <v>0</v>
      </c>
      <c r="AB78" s="51">
        <f>IF(AQ78="1",BH78,0)</f>
        <v>0</v>
      </c>
      <c r="AC78" s="51">
        <f>IF(AQ78="1",BI78,0)</f>
        <v>0</v>
      </c>
      <c r="AD78" s="51">
        <f>IF(AQ78="7",BH78,0)</f>
        <v>0</v>
      </c>
      <c r="AE78" s="51">
        <f>IF(AQ78="7",BI78,0)</f>
        <v>0</v>
      </c>
      <c r="AF78" s="51">
        <f>IF(AQ78="2",BH78,0)</f>
        <v>0</v>
      </c>
      <c r="AG78" s="51">
        <f>IF(AQ78="2",BI78,0)</f>
        <v>0</v>
      </c>
      <c r="AH78" s="51">
        <f>IF(AQ78="0",BJ78,0)</f>
        <v>0</v>
      </c>
      <c r="AI78" s="39" t="s">
        <v>133</v>
      </c>
      <c r="AJ78" s="30">
        <f>IF(AN78=0,K78,0)</f>
        <v>0</v>
      </c>
      <c r="AK78" s="30">
        <f>IF(AN78=15,K78,0)</f>
        <v>0</v>
      </c>
      <c r="AL78" s="30">
        <f>IF(AN78=21,K78,0)</f>
        <v>0</v>
      </c>
      <c r="AN78" s="51">
        <v>21</v>
      </c>
      <c r="AO78" s="51">
        <f>H78*1</f>
        <v>0</v>
      </c>
      <c r="AP78" s="51">
        <f>H78*(1-1)</f>
        <v>0</v>
      </c>
      <c r="AQ78" s="53" t="s">
        <v>13</v>
      </c>
      <c r="AV78" s="51">
        <f>AW78+AX78</f>
        <v>0</v>
      </c>
      <c r="AW78" s="51">
        <f>G78*AO78</f>
        <v>0</v>
      </c>
      <c r="AX78" s="51">
        <f>G78*AP78</f>
        <v>0</v>
      </c>
      <c r="AY78" s="54" t="s">
        <v>514</v>
      </c>
      <c r="AZ78" s="54" t="s">
        <v>534</v>
      </c>
      <c r="BA78" s="39" t="s">
        <v>552</v>
      </c>
      <c r="BC78" s="51">
        <f>AW78+AX78</f>
        <v>0</v>
      </c>
      <c r="BD78" s="51">
        <f>H78/(100-BE78)*100</f>
        <v>0</v>
      </c>
      <c r="BE78" s="51">
        <v>0</v>
      </c>
      <c r="BF78" s="51">
        <f>M78</f>
        <v>0.17</v>
      </c>
      <c r="BH78" s="30">
        <f>G78*AO78</f>
        <v>0</v>
      </c>
      <c r="BI78" s="30">
        <f>G78*AP78</f>
        <v>0</v>
      </c>
      <c r="BJ78" s="30">
        <f>G78*H78</f>
        <v>0</v>
      </c>
      <c r="BK78" s="30" t="s">
        <v>562</v>
      </c>
      <c r="BL78" s="51">
        <v>767</v>
      </c>
    </row>
    <row r="79" spans="1:64" ht="12.75">
      <c r="A79" s="5" t="s">
        <v>40</v>
      </c>
      <c r="B79" s="16" t="s">
        <v>133</v>
      </c>
      <c r="C79" s="16" t="s">
        <v>175</v>
      </c>
      <c r="D79" s="161" t="s">
        <v>321</v>
      </c>
      <c r="E79" s="162"/>
      <c r="F79" s="16" t="s">
        <v>462</v>
      </c>
      <c r="G79" s="28">
        <v>15.64</v>
      </c>
      <c r="H79" s="28">
        <v>0</v>
      </c>
      <c r="I79" s="28">
        <f>G79*AO79</f>
        <v>0</v>
      </c>
      <c r="J79" s="28">
        <f>G79*AP79</f>
        <v>0</v>
      </c>
      <c r="K79" s="28">
        <f>G79*H79</f>
        <v>0</v>
      </c>
      <c r="L79" s="28">
        <v>0</v>
      </c>
      <c r="M79" s="28">
        <f>G79*L79</f>
        <v>0</v>
      </c>
      <c r="N79" s="45" t="s">
        <v>484</v>
      </c>
      <c r="O79" s="6"/>
      <c r="Z79" s="51">
        <f>IF(AQ79="5",BJ79,0)</f>
        <v>0</v>
      </c>
      <c r="AB79" s="51">
        <f>IF(AQ79="1",BH79,0)</f>
        <v>0</v>
      </c>
      <c r="AC79" s="51">
        <f>IF(AQ79="1",BI79,0)</f>
        <v>0</v>
      </c>
      <c r="AD79" s="51">
        <f>IF(AQ79="7",BH79,0)</f>
        <v>0</v>
      </c>
      <c r="AE79" s="51">
        <f>IF(AQ79="7",BI79,0)</f>
        <v>0</v>
      </c>
      <c r="AF79" s="51">
        <f>IF(AQ79="2",BH79,0)</f>
        <v>0</v>
      </c>
      <c r="AG79" s="51">
        <f>IF(AQ79="2",BI79,0)</f>
        <v>0</v>
      </c>
      <c r="AH79" s="51">
        <f>IF(AQ79="0",BJ79,0)</f>
        <v>0</v>
      </c>
      <c r="AI79" s="39" t="s">
        <v>133</v>
      </c>
      <c r="AJ79" s="28">
        <f>IF(AN79=0,K79,0)</f>
        <v>0</v>
      </c>
      <c r="AK79" s="28">
        <f>IF(AN79=15,K79,0)</f>
        <v>0</v>
      </c>
      <c r="AL79" s="28">
        <f>IF(AN79=21,K79,0)</f>
        <v>0</v>
      </c>
      <c r="AN79" s="51">
        <v>21</v>
      </c>
      <c r="AO79" s="51">
        <f>H79*0</f>
        <v>0</v>
      </c>
      <c r="AP79" s="51">
        <f>H79*(1-0)</f>
        <v>0</v>
      </c>
      <c r="AQ79" s="52" t="s">
        <v>11</v>
      </c>
      <c r="AV79" s="51">
        <f>AW79+AX79</f>
        <v>0</v>
      </c>
      <c r="AW79" s="51">
        <f>G79*AO79</f>
        <v>0</v>
      </c>
      <c r="AX79" s="51">
        <f>G79*AP79</f>
        <v>0</v>
      </c>
      <c r="AY79" s="54" t="s">
        <v>514</v>
      </c>
      <c r="AZ79" s="54" t="s">
        <v>534</v>
      </c>
      <c r="BA79" s="39" t="s">
        <v>552</v>
      </c>
      <c r="BC79" s="51">
        <f>AW79+AX79</f>
        <v>0</v>
      </c>
      <c r="BD79" s="51">
        <f>H79/(100-BE79)*100</f>
        <v>0</v>
      </c>
      <c r="BE79" s="51">
        <v>0</v>
      </c>
      <c r="BF79" s="51">
        <f>M79</f>
        <v>0</v>
      </c>
      <c r="BH79" s="28">
        <f>G79*AO79</f>
        <v>0</v>
      </c>
      <c r="BI79" s="28">
        <f>G79*AP79</f>
        <v>0</v>
      </c>
      <c r="BJ79" s="28">
        <f>G79*H79</f>
        <v>0</v>
      </c>
      <c r="BK79" s="28" t="s">
        <v>561</v>
      </c>
      <c r="BL79" s="51">
        <v>767</v>
      </c>
    </row>
    <row r="80" spans="1:15" ht="12.75">
      <c r="A80" s="7"/>
      <c r="B80" s="17" t="s">
        <v>134</v>
      </c>
      <c r="C80" s="17"/>
      <c r="D80" s="173" t="s">
        <v>322</v>
      </c>
      <c r="E80" s="174"/>
      <c r="F80" s="26" t="s">
        <v>6</v>
      </c>
      <c r="G80" s="26" t="s">
        <v>6</v>
      </c>
      <c r="H80" s="26" t="s">
        <v>6</v>
      </c>
      <c r="I80" s="58">
        <f>I81+I86+I92+I98+I101+I110+I116+I121+I142</f>
        <v>0</v>
      </c>
      <c r="J80" s="58">
        <f>J81+J86+J92+J98+J101+J110+J116+J121+J142</f>
        <v>0</v>
      </c>
      <c r="K80" s="58">
        <f>K81+K86+K92+K98+K101+K110+K116+K121+K142</f>
        <v>0</v>
      </c>
      <c r="L80" s="40"/>
      <c r="M80" s="58">
        <f>M81+M86+M92+M98+M101+M110+M116+M121+M142</f>
        <v>60.105526000000005</v>
      </c>
      <c r="N80" s="46"/>
      <c r="O80" s="6"/>
    </row>
    <row r="81" spans="1:47" ht="12.75">
      <c r="A81" s="4"/>
      <c r="B81" s="15" t="s">
        <v>134</v>
      </c>
      <c r="C81" s="15" t="s">
        <v>19</v>
      </c>
      <c r="D81" s="166" t="s">
        <v>310</v>
      </c>
      <c r="E81" s="167"/>
      <c r="F81" s="25" t="s">
        <v>6</v>
      </c>
      <c r="G81" s="25" t="s">
        <v>6</v>
      </c>
      <c r="H81" s="25" t="s">
        <v>6</v>
      </c>
      <c r="I81" s="57">
        <f>SUM(I82:I84)</f>
        <v>0</v>
      </c>
      <c r="J81" s="57">
        <f>SUM(J82:J84)</f>
        <v>0</v>
      </c>
      <c r="K81" s="57">
        <f>SUM(K82:K84)</f>
        <v>0</v>
      </c>
      <c r="L81" s="39"/>
      <c r="M81" s="57">
        <f>SUM(M82:M84)</f>
        <v>0</v>
      </c>
      <c r="N81" s="44"/>
      <c r="O81" s="6"/>
      <c r="AI81" s="39" t="s">
        <v>134</v>
      </c>
      <c r="AS81" s="57">
        <f>SUM(AJ82:AJ84)</f>
        <v>0</v>
      </c>
      <c r="AT81" s="57">
        <f>SUM(AK82:AK84)</f>
        <v>0</v>
      </c>
      <c r="AU81" s="57">
        <f>SUM(AL82:AL84)</f>
        <v>0</v>
      </c>
    </row>
    <row r="82" spans="1:64" ht="12.75">
      <c r="A82" s="5" t="s">
        <v>41</v>
      </c>
      <c r="B82" s="16" t="s">
        <v>134</v>
      </c>
      <c r="C82" s="16" t="s">
        <v>176</v>
      </c>
      <c r="D82" s="161" t="s">
        <v>323</v>
      </c>
      <c r="E82" s="162"/>
      <c r="F82" s="16" t="s">
        <v>459</v>
      </c>
      <c r="G82" s="28">
        <v>3.96</v>
      </c>
      <c r="H82" s="28">
        <v>0</v>
      </c>
      <c r="I82" s="28">
        <f>G82*AO82</f>
        <v>0</v>
      </c>
      <c r="J82" s="28">
        <f>G82*AP82</f>
        <v>0</v>
      </c>
      <c r="K82" s="28">
        <f>G82*H82</f>
        <v>0</v>
      </c>
      <c r="L82" s="28">
        <v>0</v>
      </c>
      <c r="M82" s="28">
        <f>G82*L82</f>
        <v>0</v>
      </c>
      <c r="N82" s="45" t="s">
        <v>484</v>
      </c>
      <c r="O82" s="6"/>
      <c r="Z82" s="51">
        <f>IF(AQ82="5",BJ82,0)</f>
        <v>0</v>
      </c>
      <c r="AB82" s="51">
        <f>IF(AQ82="1",BH82,0)</f>
        <v>0</v>
      </c>
      <c r="AC82" s="51">
        <f>IF(AQ82="1",BI82,0)</f>
        <v>0</v>
      </c>
      <c r="AD82" s="51">
        <f>IF(AQ82="7",BH82,0)</f>
        <v>0</v>
      </c>
      <c r="AE82" s="51">
        <f>IF(AQ82="7",BI82,0)</f>
        <v>0</v>
      </c>
      <c r="AF82" s="51">
        <f>IF(AQ82="2",BH82,0)</f>
        <v>0</v>
      </c>
      <c r="AG82" s="51">
        <f>IF(AQ82="2",BI82,0)</f>
        <v>0</v>
      </c>
      <c r="AH82" s="51">
        <f>IF(AQ82="0",BJ82,0)</f>
        <v>0</v>
      </c>
      <c r="AI82" s="39" t="s">
        <v>134</v>
      </c>
      <c r="AJ82" s="28">
        <f>IF(AN82=0,K82,0)</f>
        <v>0</v>
      </c>
      <c r="AK82" s="28">
        <f>IF(AN82=15,K82,0)</f>
        <v>0</v>
      </c>
      <c r="AL82" s="28">
        <f>IF(AN82=21,K82,0)</f>
        <v>0</v>
      </c>
      <c r="AN82" s="51">
        <v>21</v>
      </c>
      <c r="AO82" s="51">
        <f>H82*0</f>
        <v>0</v>
      </c>
      <c r="AP82" s="51">
        <f>H82*(1-0)</f>
        <v>0</v>
      </c>
      <c r="AQ82" s="52" t="s">
        <v>7</v>
      </c>
      <c r="AV82" s="51">
        <f>AW82+AX82</f>
        <v>0</v>
      </c>
      <c r="AW82" s="51">
        <f>G82*AO82</f>
        <v>0</v>
      </c>
      <c r="AX82" s="51">
        <f>G82*AP82</f>
        <v>0</v>
      </c>
      <c r="AY82" s="54" t="s">
        <v>512</v>
      </c>
      <c r="AZ82" s="54" t="s">
        <v>535</v>
      </c>
      <c r="BA82" s="39" t="s">
        <v>553</v>
      </c>
      <c r="BC82" s="51">
        <f>AW82+AX82</f>
        <v>0</v>
      </c>
      <c r="BD82" s="51">
        <f>H82/(100-BE82)*100</f>
        <v>0</v>
      </c>
      <c r="BE82" s="51">
        <v>0</v>
      </c>
      <c r="BF82" s="51">
        <f>M82</f>
        <v>0</v>
      </c>
      <c r="BH82" s="28">
        <f>G82*AO82</f>
        <v>0</v>
      </c>
      <c r="BI82" s="28">
        <f>G82*AP82</f>
        <v>0</v>
      </c>
      <c r="BJ82" s="28">
        <f>G82*H82</f>
        <v>0</v>
      </c>
      <c r="BK82" s="28" t="s">
        <v>561</v>
      </c>
      <c r="BL82" s="51">
        <v>13</v>
      </c>
    </row>
    <row r="83" spans="1:15" ht="12.75">
      <c r="A83" s="6"/>
      <c r="D83" s="21" t="s">
        <v>324</v>
      </c>
      <c r="E83" s="22"/>
      <c r="G83" s="29">
        <v>3.96</v>
      </c>
      <c r="N83" s="47"/>
      <c r="O83" s="6"/>
    </row>
    <row r="84" spans="1:64" ht="12.75">
      <c r="A84" s="5" t="s">
        <v>42</v>
      </c>
      <c r="B84" s="16" t="s">
        <v>134</v>
      </c>
      <c r="C84" s="16" t="s">
        <v>177</v>
      </c>
      <c r="D84" s="161" t="s">
        <v>325</v>
      </c>
      <c r="E84" s="162"/>
      <c r="F84" s="16" t="s">
        <v>459</v>
      </c>
      <c r="G84" s="28">
        <v>162</v>
      </c>
      <c r="H84" s="28">
        <v>0</v>
      </c>
      <c r="I84" s="28">
        <f>G84*AO84</f>
        <v>0</v>
      </c>
      <c r="J84" s="28">
        <f>G84*AP84</f>
        <v>0</v>
      </c>
      <c r="K84" s="28">
        <f>G84*H84</f>
        <v>0</v>
      </c>
      <c r="L84" s="28">
        <v>0</v>
      </c>
      <c r="M84" s="28">
        <f>G84*L84</f>
        <v>0</v>
      </c>
      <c r="N84" s="45" t="s">
        <v>484</v>
      </c>
      <c r="O84" s="6"/>
      <c r="Z84" s="51">
        <f>IF(AQ84="5",BJ84,0)</f>
        <v>0</v>
      </c>
      <c r="AB84" s="51">
        <f>IF(AQ84="1",BH84,0)</f>
        <v>0</v>
      </c>
      <c r="AC84" s="51">
        <f>IF(AQ84="1",BI84,0)</f>
        <v>0</v>
      </c>
      <c r="AD84" s="51">
        <f>IF(AQ84="7",BH84,0)</f>
        <v>0</v>
      </c>
      <c r="AE84" s="51">
        <f>IF(AQ84="7",BI84,0)</f>
        <v>0</v>
      </c>
      <c r="AF84" s="51">
        <f>IF(AQ84="2",BH84,0)</f>
        <v>0</v>
      </c>
      <c r="AG84" s="51">
        <f>IF(AQ84="2",BI84,0)</f>
        <v>0</v>
      </c>
      <c r="AH84" s="51">
        <f>IF(AQ84="0",BJ84,0)</f>
        <v>0</v>
      </c>
      <c r="AI84" s="39" t="s">
        <v>134</v>
      </c>
      <c r="AJ84" s="28">
        <f>IF(AN84=0,K84,0)</f>
        <v>0</v>
      </c>
      <c r="AK84" s="28">
        <f>IF(AN84=15,K84,0)</f>
        <v>0</v>
      </c>
      <c r="AL84" s="28">
        <f>IF(AN84=21,K84,0)</f>
        <v>0</v>
      </c>
      <c r="AN84" s="51">
        <v>21</v>
      </c>
      <c r="AO84" s="51">
        <f>H84*0</f>
        <v>0</v>
      </c>
      <c r="AP84" s="51">
        <f>H84*(1-0)</f>
        <v>0</v>
      </c>
      <c r="AQ84" s="52" t="s">
        <v>7</v>
      </c>
      <c r="AV84" s="51">
        <f>AW84+AX84</f>
        <v>0</v>
      </c>
      <c r="AW84" s="51">
        <f>G84*AO84</f>
        <v>0</v>
      </c>
      <c r="AX84" s="51">
        <f>G84*AP84</f>
        <v>0</v>
      </c>
      <c r="AY84" s="54" t="s">
        <v>512</v>
      </c>
      <c r="AZ84" s="54" t="s">
        <v>535</v>
      </c>
      <c r="BA84" s="39" t="s">
        <v>553</v>
      </c>
      <c r="BC84" s="51">
        <f>AW84+AX84</f>
        <v>0</v>
      </c>
      <c r="BD84" s="51">
        <f>H84/(100-BE84)*100</f>
        <v>0</v>
      </c>
      <c r="BE84" s="51">
        <v>0</v>
      </c>
      <c r="BF84" s="51">
        <f>M84</f>
        <v>0</v>
      </c>
      <c r="BH84" s="28">
        <f>G84*AO84</f>
        <v>0</v>
      </c>
      <c r="BI84" s="28">
        <f>G84*AP84</f>
        <v>0</v>
      </c>
      <c r="BJ84" s="28">
        <f>G84*H84</f>
        <v>0</v>
      </c>
      <c r="BK84" s="28" t="s">
        <v>561</v>
      </c>
      <c r="BL84" s="51">
        <v>13</v>
      </c>
    </row>
    <row r="85" spans="1:15" ht="12.75">
      <c r="A85" s="6"/>
      <c r="D85" s="21" t="s">
        <v>326</v>
      </c>
      <c r="E85" s="22"/>
      <c r="G85" s="29">
        <v>162</v>
      </c>
      <c r="N85" s="47"/>
      <c r="O85" s="6"/>
    </row>
    <row r="86" spans="1:47" ht="12.75">
      <c r="A86" s="4"/>
      <c r="B86" s="15" t="s">
        <v>134</v>
      </c>
      <c r="C86" s="15" t="s">
        <v>22</v>
      </c>
      <c r="D86" s="166" t="s">
        <v>272</v>
      </c>
      <c r="E86" s="167"/>
      <c r="F86" s="25" t="s">
        <v>6</v>
      </c>
      <c r="G86" s="25" t="s">
        <v>6</v>
      </c>
      <c r="H86" s="25" t="s">
        <v>6</v>
      </c>
      <c r="I86" s="57">
        <f>SUM(I87:I90)</f>
        <v>0</v>
      </c>
      <c r="J86" s="57">
        <f>SUM(J87:J90)</f>
        <v>0</v>
      </c>
      <c r="K86" s="57">
        <f>SUM(K87:K90)</f>
        <v>0</v>
      </c>
      <c r="L86" s="39"/>
      <c r="M86" s="57">
        <f>SUM(M87:M90)</f>
        <v>0</v>
      </c>
      <c r="N86" s="44"/>
      <c r="O86" s="6"/>
      <c r="AI86" s="39" t="s">
        <v>134</v>
      </c>
      <c r="AS86" s="57">
        <f>SUM(AJ87:AJ90)</f>
        <v>0</v>
      </c>
      <c r="AT86" s="57">
        <f>SUM(AK87:AK90)</f>
        <v>0</v>
      </c>
      <c r="AU86" s="57">
        <f>SUM(AL87:AL90)</f>
        <v>0</v>
      </c>
    </row>
    <row r="87" spans="1:64" ht="12.75">
      <c r="A87" s="5" t="s">
        <v>43</v>
      </c>
      <c r="B87" s="16" t="s">
        <v>134</v>
      </c>
      <c r="C87" s="16" t="s">
        <v>148</v>
      </c>
      <c r="D87" s="161" t="s">
        <v>274</v>
      </c>
      <c r="E87" s="162"/>
      <c r="F87" s="16" t="s">
        <v>459</v>
      </c>
      <c r="G87" s="28">
        <v>36.36</v>
      </c>
      <c r="H87" s="28">
        <v>0</v>
      </c>
      <c r="I87" s="28">
        <f>G87*AO87</f>
        <v>0</v>
      </c>
      <c r="J87" s="28">
        <f>G87*AP87</f>
        <v>0</v>
      </c>
      <c r="K87" s="28">
        <f>G87*H87</f>
        <v>0</v>
      </c>
      <c r="L87" s="28">
        <v>0</v>
      </c>
      <c r="M87" s="28">
        <f>G87*L87</f>
        <v>0</v>
      </c>
      <c r="N87" s="45" t="s">
        <v>484</v>
      </c>
      <c r="O87" s="6"/>
      <c r="Z87" s="51">
        <f>IF(AQ87="5",BJ87,0)</f>
        <v>0</v>
      </c>
      <c r="AB87" s="51">
        <f>IF(AQ87="1",BH87,0)</f>
        <v>0</v>
      </c>
      <c r="AC87" s="51">
        <f>IF(AQ87="1",BI87,0)</f>
        <v>0</v>
      </c>
      <c r="AD87" s="51">
        <f>IF(AQ87="7",BH87,0)</f>
        <v>0</v>
      </c>
      <c r="AE87" s="51">
        <f>IF(AQ87="7",BI87,0)</f>
        <v>0</v>
      </c>
      <c r="AF87" s="51">
        <f>IF(AQ87="2",BH87,0)</f>
        <v>0</v>
      </c>
      <c r="AG87" s="51">
        <f>IF(AQ87="2",BI87,0)</f>
        <v>0</v>
      </c>
      <c r="AH87" s="51">
        <f>IF(AQ87="0",BJ87,0)</f>
        <v>0</v>
      </c>
      <c r="AI87" s="39" t="s">
        <v>134</v>
      </c>
      <c r="AJ87" s="28">
        <f>IF(AN87=0,K87,0)</f>
        <v>0</v>
      </c>
      <c r="AK87" s="28">
        <f>IF(AN87=15,K87,0)</f>
        <v>0</v>
      </c>
      <c r="AL87" s="28">
        <f>IF(AN87=21,K87,0)</f>
        <v>0</v>
      </c>
      <c r="AN87" s="51">
        <v>21</v>
      </c>
      <c r="AO87" s="51">
        <f>H87*0</f>
        <v>0</v>
      </c>
      <c r="AP87" s="51">
        <f>H87*(1-0)</f>
        <v>0</v>
      </c>
      <c r="AQ87" s="52" t="s">
        <v>7</v>
      </c>
      <c r="AV87" s="51">
        <f>AW87+AX87</f>
        <v>0</v>
      </c>
      <c r="AW87" s="51">
        <f>G87*AO87</f>
        <v>0</v>
      </c>
      <c r="AX87" s="51">
        <f>G87*AP87</f>
        <v>0</v>
      </c>
      <c r="AY87" s="54" t="s">
        <v>503</v>
      </c>
      <c r="AZ87" s="54" t="s">
        <v>535</v>
      </c>
      <c r="BA87" s="39" t="s">
        <v>553</v>
      </c>
      <c r="BC87" s="51">
        <f>AW87+AX87</f>
        <v>0</v>
      </c>
      <c r="BD87" s="51">
        <f>H87/(100-BE87)*100</f>
        <v>0</v>
      </c>
      <c r="BE87" s="51">
        <v>0</v>
      </c>
      <c r="BF87" s="51">
        <f>M87</f>
        <v>0</v>
      </c>
      <c r="BH87" s="28">
        <f>G87*AO87</f>
        <v>0</v>
      </c>
      <c r="BI87" s="28">
        <f>G87*AP87</f>
        <v>0</v>
      </c>
      <c r="BJ87" s="28">
        <f>G87*H87</f>
        <v>0</v>
      </c>
      <c r="BK87" s="28" t="s">
        <v>561</v>
      </c>
      <c r="BL87" s="51">
        <v>16</v>
      </c>
    </row>
    <row r="88" spans="1:15" ht="12.75">
      <c r="A88" s="6"/>
      <c r="D88" s="21" t="s">
        <v>327</v>
      </c>
      <c r="E88" s="22"/>
      <c r="G88" s="29">
        <v>32.4</v>
      </c>
      <c r="N88" s="47"/>
      <c r="O88" s="6"/>
    </row>
    <row r="89" spans="1:15" ht="12.75">
      <c r="A89" s="6"/>
      <c r="D89" s="21" t="s">
        <v>324</v>
      </c>
      <c r="E89" s="22"/>
      <c r="G89" s="29">
        <v>3.96</v>
      </c>
      <c r="N89" s="47"/>
      <c r="O89" s="6"/>
    </row>
    <row r="90" spans="1:64" ht="12.75">
      <c r="A90" s="5" t="s">
        <v>44</v>
      </c>
      <c r="B90" s="16" t="s">
        <v>134</v>
      </c>
      <c r="C90" s="16" t="s">
        <v>149</v>
      </c>
      <c r="D90" s="161" t="s">
        <v>276</v>
      </c>
      <c r="E90" s="162"/>
      <c r="F90" s="16" t="s">
        <v>459</v>
      </c>
      <c r="G90" s="28">
        <v>181.8</v>
      </c>
      <c r="H90" s="28">
        <v>0</v>
      </c>
      <c r="I90" s="28">
        <f>G90*AO90</f>
        <v>0</v>
      </c>
      <c r="J90" s="28">
        <f>G90*AP90</f>
        <v>0</v>
      </c>
      <c r="K90" s="28">
        <f>G90*H90</f>
        <v>0</v>
      </c>
      <c r="L90" s="28">
        <v>0</v>
      </c>
      <c r="M90" s="28">
        <f>G90*L90</f>
        <v>0</v>
      </c>
      <c r="N90" s="45" t="s">
        <v>484</v>
      </c>
      <c r="O90" s="6"/>
      <c r="Z90" s="51">
        <f>IF(AQ90="5",BJ90,0)</f>
        <v>0</v>
      </c>
      <c r="AB90" s="51">
        <f>IF(AQ90="1",BH90,0)</f>
        <v>0</v>
      </c>
      <c r="AC90" s="51">
        <f>IF(AQ90="1",BI90,0)</f>
        <v>0</v>
      </c>
      <c r="AD90" s="51">
        <f>IF(AQ90="7",BH90,0)</f>
        <v>0</v>
      </c>
      <c r="AE90" s="51">
        <f>IF(AQ90="7",BI90,0)</f>
        <v>0</v>
      </c>
      <c r="AF90" s="51">
        <f>IF(AQ90="2",BH90,0)</f>
        <v>0</v>
      </c>
      <c r="AG90" s="51">
        <f>IF(AQ90="2",BI90,0)</f>
        <v>0</v>
      </c>
      <c r="AH90" s="51">
        <f>IF(AQ90="0",BJ90,0)</f>
        <v>0</v>
      </c>
      <c r="AI90" s="39" t="s">
        <v>134</v>
      </c>
      <c r="AJ90" s="28">
        <f>IF(AN90=0,K90,0)</f>
        <v>0</v>
      </c>
      <c r="AK90" s="28">
        <f>IF(AN90=15,K90,0)</f>
        <v>0</v>
      </c>
      <c r="AL90" s="28">
        <f>IF(AN90=21,K90,0)</f>
        <v>0</v>
      </c>
      <c r="AN90" s="51">
        <v>21</v>
      </c>
      <c r="AO90" s="51">
        <f>H90*0</f>
        <v>0</v>
      </c>
      <c r="AP90" s="51">
        <f>H90*(1-0)</f>
        <v>0</v>
      </c>
      <c r="AQ90" s="52" t="s">
        <v>7</v>
      </c>
      <c r="AV90" s="51">
        <f>AW90+AX90</f>
        <v>0</v>
      </c>
      <c r="AW90" s="51">
        <f>G90*AO90</f>
        <v>0</v>
      </c>
      <c r="AX90" s="51">
        <f>G90*AP90</f>
        <v>0</v>
      </c>
      <c r="AY90" s="54" t="s">
        <v>503</v>
      </c>
      <c r="AZ90" s="54" t="s">
        <v>535</v>
      </c>
      <c r="BA90" s="39" t="s">
        <v>553</v>
      </c>
      <c r="BC90" s="51">
        <f>AW90+AX90</f>
        <v>0</v>
      </c>
      <c r="BD90" s="51">
        <f>H90/(100-BE90)*100</f>
        <v>0</v>
      </c>
      <c r="BE90" s="51">
        <v>0</v>
      </c>
      <c r="BF90" s="51">
        <f>M90</f>
        <v>0</v>
      </c>
      <c r="BH90" s="28">
        <f>G90*AO90</f>
        <v>0</v>
      </c>
      <c r="BI90" s="28">
        <f>G90*AP90</f>
        <v>0</v>
      </c>
      <c r="BJ90" s="28">
        <f>G90*H90</f>
        <v>0</v>
      </c>
      <c r="BK90" s="28" t="s">
        <v>561</v>
      </c>
      <c r="BL90" s="51">
        <v>16</v>
      </c>
    </row>
    <row r="91" spans="1:15" ht="12.75">
      <c r="A91" s="6"/>
      <c r="D91" s="21" t="s">
        <v>328</v>
      </c>
      <c r="E91" s="22"/>
      <c r="G91" s="29">
        <v>181.8</v>
      </c>
      <c r="N91" s="47"/>
      <c r="O91" s="6"/>
    </row>
    <row r="92" spans="1:47" ht="12.75">
      <c r="A92" s="4"/>
      <c r="B92" s="15" t="s">
        <v>134</v>
      </c>
      <c r="C92" s="15" t="s">
        <v>23</v>
      </c>
      <c r="D92" s="166" t="s">
        <v>278</v>
      </c>
      <c r="E92" s="167"/>
      <c r="F92" s="25" t="s">
        <v>6</v>
      </c>
      <c r="G92" s="25" t="s">
        <v>6</v>
      </c>
      <c r="H92" s="25" t="s">
        <v>6</v>
      </c>
      <c r="I92" s="57">
        <f>SUM(I93:I96)</f>
        <v>0</v>
      </c>
      <c r="J92" s="57">
        <f>SUM(J93:J96)</f>
        <v>0</v>
      </c>
      <c r="K92" s="57">
        <f>SUM(K93:K96)</f>
        <v>0</v>
      </c>
      <c r="L92" s="39"/>
      <c r="M92" s="57">
        <f>SUM(M93:M96)</f>
        <v>36.72</v>
      </c>
      <c r="N92" s="44"/>
      <c r="O92" s="6"/>
      <c r="AI92" s="39" t="s">
        <v>134</v>
      </c>
      <c r="AS92" s="57">
        <f>SUM(AJ93:AJ96)</f>
        <v>0</v>
      </c>
      <c r="AT92" s="57">
        <f>SUM(AK93:AK96)</f>
        <v>0</v>
      </c>
      <c r="AU92" s="57">
        <f>SUM(AL93:AL96)</f>
        <v>0</v>
      </c>
    </row>
    <row r="93" spans="1:64" ht="12.75">
      <c r="A93" s="5" t="s">
        <v>45</v>
      </c>
      <c r="B93" s="16" t="s">
        <v>134</v>
      </c>
      <c r="C93" s="16" t="s">
        <v>178</v>
      </c>
      <c r="D93" s="161" t="s">
        <v>329</v>
      </c>
      <c r="E93" s="162"/>
      <c r="F93" s="16" t="s">
        <v>459</v>
      </c>
      <c r="G93" s="28">
        <v>21.6</v>
      </c>
      <c r="H93" s="28">
        <v>0</v>
      </c>
      <c r="I93" s="28">
        <f>G93*AO93</f>
        <v>0</v>
      </c>
      <c r="J93" s="28">
        <f>G93*AP93</f>
        <v>0</v>
      </c>
      <c r="K93" s="28">
        <f>G93*H93</f>
        <v>0</v>
      </c>
      <c r="L93" s="28">
        <v>1.7</v>
      </c>
      <c r="M93" s="28">
        <f>G93*L93</f>
        <v>36.72</v>
      </c>
      <c r="N93" s="45" t="s">
        <v>484</v>
      </c>
      <c r="O93" s="6"/>
      <c r="Z93" s="51">
        <f>IF(AQ93="5",BJ93,0)</f>
        <v>0</v>
      </c>
      <c r="AB93" s="51">
        <f>IF(AQ93="1",BH93,0)</f>
        <v>0</v>
      </c>
      <c r="AC93" s="51">
        <f>IF(AQ93="1",BI93,0)</f>
        <v>0</v>
      </c>
      <c r="AD93" s="51">
        <f>IF(AQ93="7",BH93,0)</f>
        <v>0</v>
      </c>
      <c r="AE93" s="51">
        <f>IF(AQ93="7",BI93,0)</f>
        <v>0</v>
      </c>
      <c r="AF93" s="51">
        <f>IF(AQ93="2",BH93,0)</f>
        <v>0</v>
      </c>
      <c r="AG93" s="51">
        <f>IF(AQ93="2",BI93,0)</f>
        <v>0</v>
      </c>
      <c r="AH93" s="51">
        <f>IF(AQ93="0",BJ93,0)</f>
        <v>0</v>
      </c>
      <c r="AI93" s="39" t="s">
        <v>134</v>
      </c>
      <c r="AJ93" s="28">
        <f>IF(AN93=0,K93,0)</f>
        <v>0</v>
      </c>
      <c r="AK93" s="28">
        <f>IF(AN93=15,K93,0)</f>
        <v>0</v>
      </c>
      <c r="AL93" s="28">
        <f>IF(AN93=21,K93,0)</f>
        <v>0</v>
      </c>
      <c r="AN93" s="51">
        <v>21</v>
      </c>
      <c r="AO93" s="51">
        <f>H93*0.446905594405594</f>
        <v>0</v>
      </c>
      <c r="AP93" s="51">
        <f>H93*(1-0.446905594405594)</f>
        <v>0</v>
      </c>
      <c r="AQ93" s="52" t="s">
        <v>7</v>
      </c>
      <c r="AV93" s="51">
        <f>AW93+AX93</f>
        <v>0</v>
      </c>
      <c r="AW93" s="51">
        <f>G93*AO93</f>
        <v>0</v>
      </c>
      <c r="AX93" s="51">
        <f>G93*AP93</f>
        <v>0</v>
      </c>
      <c r="AY93" s="54" t="s">
        <v>504</v>
      </c>
      <c r="AZ93" s="54" t="s">
        <v>535</v>
      </c>
      <c r="BA93" s="39" t="s">
        <v>553</v>
      </c>
      <c r="BC93" s="51">
        <f>AW93+AX93</f>
        <v>0</v>
      </c>
      <c r="BD93" s="51">
        <f>H93/(100-BE93)*100</f>
        <v>0</v>
      </c>
      <c r="BE93" s="51">
        <v>0</v>
      </c>
      <c r="BF93" s="51">
        <f>M93</f>
        <v>36.72</v>
      </c>
      <c r="BH93" s="28">
        <f>G93*AO93</f>
        <v>0</v>
      </c>
      <c r="BI93" s="28">
        <f>G93*AP93</f>
        <v>0</v>
      </c>
      <c r="BJ93" s="28">
        <f>G93*H93</f>
        <v>0</v>
      </c>
      <c r="BK93" s="28" t="s">
        <v>561</v>
      </c>
      <c r="BL93" s="51">
        <v>17</v>
      </c>
    </row>
    <row r="94" spans="1:15" ht="12.75">
      <c r="A94" s="6"/>
      <c r="C94" s="20" t="s">
        <v>141</v>
      </c>
      <c r="D94" s="163" t="s">
        <v>330</v>
      </c>
      <c r="E94" s="164"/>
      <c r="F94" s="164"/>
      <c r="G94" s="164"/>
      <c r="H94" s="164"/>
      <c r="I94" s="164"/>
      <c r="J94" s="164"/>
      <c r="K94" s="164"/>
      <c r="L94" s="164"/>
      <c r="M94" s="164"/>
      <c r="N94" s="165"/>
      <c r="O94" s="6"/>
    </row>
    <row r="95" spans="1:15" ht="12.75">
      <c r="A95" s="6"/>
      <c r="D95" s="21" t="s">
        <v>331</v>
      </c>
      <c r="E95" s="22"/>
      <c r="G95" s="29">
        <v>21.6</v>
      </c>
      <c r="N95" s="47"/>
      <c r="O95" s="6"/>
    </row>
    <row r="96" spans="1:64" ht="12.75">
      <c r="A96" s="5" t="s">
        <v>46</v>
      </c>
      <c r="B96" s="16" t="s">
        <v>134</v>
      </c>
      <c r="C96" s="16" t="s">
        <v>179</v>
      </c>
      <c r="D96" s="161" t="s">
        <v>332</v>
      </c>
      <c r="E96" s="162"/>
      <c r="F96" s="16" t="s">
        <v>459</v>
      </c>
      <c r="G96" s="28">
        <v>118.8</v>
      </c>
      <c r="H96" s="28">
        <v>0</v>
      </c>
      <c r="I96" s="28">
        <f>G96*AO96</f>
        <v>0</v>
      </c>
      <c r="J96" s="28">
        <f>G96*AP96</f>
        <v>0</v>
      </c>
      <c r="K96" s="28">
        <f>G96*H96</f>
        <v>0</v>
      </c>
      <c r="L96" s="28">
        <v>0</v>
      </c>
      <c r="M96" s="28">
        <f>G96*L96</f>
        <v>0</v>
      </c>
      <c r="N96" s="45" t="s">
        <v>484</v>
      </c>
      <c r="O96" s="6"/>
      <c r="Z96" s="51">
        <f>IF(AQ96="5",BJ96,0)</f>
        <v>0</v>
      </c>
      <c r="AB96" s="51">
        <f>IF(AQ96="1",BH96,0)</f>
        <v>0</v>
      </c>
      <c r="AC96" s="51">
        <f>IF(AQ96="1",BI96,0)</f>
        <v>0</v>
      </c>
      <c r="AD96" s="51">
        <f>IF(AQ96="7",BH96,0)</f>
        <v>0</v>
      </c>
      <c r="AE96" s="51">
        <f>IF(AQ96="7",BI96,0)</f>
        <v>0</v>
      </c>
      <c r="AF96" s="51">
        <f>IF(AQ96="2",BH96,0)</f>
        <v>0</v>
      </c>
      <c r="AG96" s="51">
        <f>IF(AQ96="2",BI96,0)</f>
        <v>0</v>
      </c>
      <c r="AH96" s="51">
        <f>IF(AQ96="0",BJ96,0)</f>
        <v>0</v>
      </c>
      <c r="AI96" s="39" t="s">
        <v>134</v>
      </c>
      <c r="AJ96" s="28">
        <f>IF(AN96=0,K96,0)</f>
        <v>0</v>
      </c>
      <c r="AK96" s="28">
        <f>IF(AN96=15,K96,0)</f>
        <v>0</v>
      </c>
      <c r="AL96" s="28">
        <f>IF(AN96=21,K96,0)</f>
        <v>0</v>
      </c>
      <c r="AN96" s="51">
        <v>21</v>
      </c>
      <c r="AO96" s="51">
        <f>H96*0</f>
        <v>0</v>
      </c>
      <c r="AP96" s="51">
        <f>H96*(1-0)</f>
        <v>0</v>
      </c>
      <c r="AQ96" s="52" t="s">
        <v>7</v>
      </c>
      <c r="AV96" s="51">
        <f>AW96+AX96</f>
        <v>0</v>
      </c>
      <c r="AW96" s="51">
        <f>G96*AO96</f>
        <v>0</v>
      </c>
      <c r="AX96" s="51">
        <f>G96*AP96</f>
        <v>0</v>
      </c>
      <c r="AY96" s="54" t="s">
        <v>504</v>
      </c>
      <c r="AZ96" s="54" t="s">
        <v>535</v>
      </c>
      <c r="BA96" s="39" t="s">
        <v>553</v>
      </c>
      <c r="BC96" s="51">
        <f>AW96+AX96</f>
        <v>0</v>
      </c>
      <c r="BD96" s="51">
        <f>H96/(100-BE96)*100</f>
        <v>0</v>
      </c>
      <c r="BE96" s="51">
        <v>0</v>
      </c>
      <c r="BF96" s="51">
        <f>M96</f>
        <v>0</v>
      </c>
      <c r="BH96" s="28">
        <f>G96*AO96</f>
        <v>0</v>
      </c>
      <c r="BI96" s="28">
        <f>G96*AP96</f>
        <v>0</v>
      </c>
      <c r="BJ96" s="28">
        <f>G96*H96</f>
        <v>0</v>
      </c>
      <c r="BK96" s="28" t="s">
        <v>561</v>
      </c>
      <c r="BL96" s="51">
        <v>17</v>
      </c>
    </row>
    <row r="97" spans="1:15" ht="12.75">
      <c r="A97" s="6"/>
      <c r="D97" s="21" t="s">
        <v>333</v>
      </c>
      <c r="E97" s="22"/>
      <c r="G97" s="29">
        <v>118.8</v>
      </c>
      <c r="N97" s="47"/>
      <c r="O97" s="6"/>
    </row>
    <row r="98" spans="1:47" ht="12.75">
      <c r="A98" s="4"/>
      <c r="B98" s="15" t="s">
        <v>134</v>
      </c>
      <c r="C98" s="15" t="s">
        <v>51</v>
      </c>
      <c r="D98" s="166" t="s">
        <v>334</v>
      </c>
      <c r="E98" s="167"/>
      <c r="F98" s="25" t="s">
        <v>6</v>
      </c>
      <c r="G98" s="25" t="s">
        <v>6</v>
      </c>
      <c r="H98" s="25" t="s">
        <v>6</v>
      </c>
      <c r="I98" s="57">
        <f>SUM(I99:I99)</f>
        <v>0</v>
      </c>
      <c r="J98" s="57">
        <f>SUM(J99:J99)</f>
        <v>0</v>
      </c>
      <c r="K98" s="57">
        <f>SUM(K99:K99)</f>
        <v>0</v>
      </c>
      <c r="L98" s="39"/>
      <c r="M98" s="57">
        <f>SUM(M99:M99)</f>
        <v>20.420316000000003</v>
      </c>
      <c r="N98" s="44"/>
      <c r="O98" s="6"/>
      <c r="AI98" s="39" t="s">
        <v>134</v>
      </c>
      <c r="AS98" s="57">
        <f>SUM(AJ99:AJ99)</f>
        <v>0</v>
      </c>
      <c r="AT98" s="57">
        <f>SUM(AK99:AK99)</f>
        <v>0</v>
      </c>
      <c r="AU98" s="57">
        <f>SUM(AL99:AL99)</f>
        <v>0</v>
      </c>
    </row>
    <row r="99" spans="1:64" ht="12.75">
      <c r="A99" s="5" t="s">
        <v>47</v>
      </c>
      <c r="B99" s="16" t="s">
        <v>134</v>
      </c>
      <c r="C99" s="16" t="s">
        <v>180</v>
      </c>
      <c r="D99" s="161" t="s">
        <v>335</v>
      </c>
      <c r="E99" s="162"/>
      <c r="F99" s="16" t="s">
        <v>459</v>
      </c>
      <c r="G99" s="28">
        <v>10.8</v>
      </c>
      <c r="H99" s="28">
        <v>0</v>
      </c>
      <c r="I99" s="28">
        <f>G99*AO99</f>
        <v>0</v>
      </c>
      <c r="J99" s="28">
        <f>G99*AP99</f>
        <v>0</v>
      </c>
      <c r="K99" s="28">
        <f>G99*H99</f>
        <v>0</v>
      </c>
      <c r="L99" s="28">
        <v>1.89077</v>
      </c>
      <c r="M99" s="28">
        <f>G99*L99</f>
        <v>20.420316000000003</v>
      </c>
      <c r="N99" s="45" t="s">
        <v>484</v>
      </c>
      <c r="O99" s="6"/>
      <c r="Z99" s="51">
        <f>IF(AQ99="5",BJ99,0)</f>
        <v>0</v>
      </c>
      <c r="AB99" s="51">
        <f>IF(AQ99="1",BH99,0)</f>
        <v>0</v>
      </c>
      <c r="AC99" s="51">
        <f>IF(AQ99="1",BI99,0)</f>
        <v>0</v>
      </c>
      <c r="AD99" s="51">
        <f>IF(AQ99="7",BH99,0)</f>
        <v>0</v>
      </c>
      <c r="AE99" s="51">
        <f>IF(AQ99="7",BI99,0)</f>
        <v>0</v>
      </c>
      <c r="AF99" s="51">
        <f>IF(AQ99="2",BH99,0)</f>
        <v>0</v>
      </c>
      <c r="AG99" s="51">
        <f>IF(AQ99="2",BI99,0)</f>
        <v>0</v>
      </c>
      <c r="AH99" s="51">
        <f>IF(AQ99="0",BJ99,0)</f>
        <v>0</v>
      </c>
      <c r="AI99" s="39" t="s">
        <v>134</v>
      </c>
      <c r="AJ99" s="28">
        <f>IF(AN99=0,K99,0)</f>
        <v>0</v>
      </c>
      <c r="AK99" s="28">
        <f>IF(AN99=15,K99,0)</f>
        <v>0</v>
      </c>
      <c r="AL99" s="28">
        <f>IF(AN99=21,K99,0)</f>
        <v>0</v>
      </c>
      <c r="AN99" s="51">
        <v>21</v>
      </c>
      <c r="AO99" s="51">
        <f>H99*0.478541666666667</f>
        <v>0</v>
      </c>
      <c r="AP99" s="51">
        <f>H99*(1-0.478541666666667)</f>
        <v>0</v>
      </c>
      <c r="AQ99" s="52" t="s">
        <v>7</v>
      </c>
      <c r="AV99" s="51">
        <f>AW99+AX99</f>
        <v>0</v>
      </c>
      <c r="AW99" s="51">
        <f>G99*AO99</f>
        <v>0</v>
      </c>
      <c r="AX99" s="51">
        <f>G99*AP99</f>
        <v>0</v>
      </c>
      <c r="AY99" s="54" t="s">
        <v>515</v>
      </c>
      <c r="AZ99" s="54" t="s">
        <v>536</v>
      </c>
      <c r="BA99" s="39" t="s">
        <v>553</v>
      </c>
      <c r="BC99" s="51">
        <f>AW99+AX99</f>
        <v>0</v>
      </c>
      <c r="BD99" s="51">
        <f>H99/(100-BE99)*100</f>
        <v>0</v>
      </c>
      <c r="BE99" s="51">
        <v>0</v>
      </c>
      <c r="BF99" s="51">
        <f>M99</f>
        <v>20.420316000000003</v>
      </c>
      <c r="BH99" s="28">
        <f>G99*AO99</f>
        <v>0</v>
      </c>
      <c r="BI99" s="28">
        <f>G99*AP99</f>
        <v>0</v>
      </c>
      <c r="BJ99" s="28">
        <f>G99*H99</f>
        <v>0</v>
      </c>
      <c r="BK99" s="28" t="s">
        <v>561</v>
      </c>
      <c r="BL99" s="51">
        <v>45</v>
      </c>
    </row>
    <row r="100" spans="1:15" ht="12.75">
      <c r="A100" s="6"/>
      <c r="D100" s="21" t="s">
        <v>336</v>
      </c>
      <c r="E100" s="22"/>
      <c r="G100" s="29">
        <v>10.8</v>
      </c>
      <c r="N100" s="47"/>
      <c r="O100" s="6"/>
    </row>
    <row r="101" spans="1:47" ht="12.75">
      <c r="A101" s="4"/>
      <c r="B101" s="15" t="s">
        <v>134</v>
      </c>
      <c r="C101" s="15" t="s">
        <v>181</v>
      </c>
      <c r="D101" s="166" t="s">
        <v>337</v>
      </c>
      <c r="E101" s="167"/>
      <c r="F101" s="25" t="s">
        <v>6</v>
      </c>
      <c r="G101" s="25" t="s">
        <v>6</v>
      </c>
      <c r="H101" s="25" t="s">
        <v>6</v>
      </c>
      <c r="I101" s="57">
        <f>SUM(I102:I109)</f>
        <v>0</v>
      </c>
      <c r="J101" s="57">
        <f>SUM(J102:J109)</f>
        <v>0</v>
      </c>
      <c r="K101" s="57">
        <f>SUM(K102:K109)</f>
        <v>0</v>
      </c>
      <c r="L101" s="39"/>
      <c r="M101" s="57">
        <f>SUM(M102:M109)</f>
        <v>0.028650000000000002</v>
      </c>
      <c r="N101" s="44"/>
      <c r="O101" s="6"/>
      <c r="AI101" s="39" t="s">
        <v>134</v>
      </c>
      <c r="AS101" s="57">
        <f>SUM(AJ102:AJ109)</f>
        <v>0</v>
      </c>
      <c r="AT101" s="57">
        <f>SUM(AK102:AK109)</f>
        <v>0</v>
      </c>
      <c r="AU101" s="57">
        <f>SUM(AL102:AL109)</f>
        <v>0</v>
      </c>
    </row>
    <row r="102" spans="1:64" ht="12.75">
      <c r="A102" s="5" t="s">
        <v>48</v>
      </c>
      <c r="B102" s="16" t="s">
        <v>134</v>
      </c>
      <c r="C102" s="16" t="s">
        <v>182</v>
      </c>
      <c r="D102" s="161" t="s">
        <v>338</v>
      </c>
      <c r="E102" s="162"/>
      <c r="F102" s="16" t="s">
        <v>458</v>
      </c>
      <c r="G102" s="28">
        <v>1</v>
      </c>
      <c r="H102" s="28">
        <v>0</v>
      </c>
      <c r="I102" s="28">
        <f>G102*AO102</f>
        <v>0</v>
      </c>
      <c r="J102" s="28">
        <f>G102*AP102</f>
        <v>0</v>
      </c>
      <c r="K102" s="28">
        <f>G102*H102</f>
        <v>0</v>
      </c>
      <c r="L102" s="28">
        <v>0.00216</v>
      </c>
      <c r="M102" s="28">
        <f>G102*L102</f>
        <v>0.00216</v>
      </c>
      <c r="N102" s="45" t="s">
        <v>484</v>
      </c>
      <c r="O102" s="6"/>
      <c r="Z102" s="51">
        <f>IF(AQ102="5",BJ102,0)</f>
        <v>0</v>
      </c>
      <c r="AB102" s="51">
        <f>IF(AQ102="1",BH102,0)</f>
        <v>0</v>
      </c>
      <c r="AC102" s="51">
        <f>IF(AQ102="1",BI102,0)</f>
        <v>0</v>
      </c>
      <c r="AD102" s="51">
        <f>IF(AQ102="7",BH102,0)</f>
        <v>0</v>
      </c>
      <c r="AE102" s="51">
        <f>IF(AQ102="7",BI102,0)</f>
        <v>0</v>
      </c>
      <c r="AF102" s="51">
        <f>IF(AQ102="2",BH102,0)</f>
        <v>0</v>
      </c>
      <c r="AG102" s="51">
        <f>IF(AQ102="2",BI102,0)</f>
        <v>0</v>
      </c>
      <c r="AH102" s="51">
        <f>IF(AQ102="0",BJ102,0)</f>
        <v>0</v>
      </c>
      <c r="AI102" s="39" t="s">
        <v>134</v>
      </c>
      <c r="AJ102" s="28">
        <f>IF(AN102=0,K102,0)</f>
        <v>0</v>
      </c>
      <c r="AK102" s="28">
        <f>IF(AN102=15,K102,0)</f>
        <v>0</v>
      </c>
      <c r="AL102" s="28">
        <f>IF(AN102=21,K102,0)</f>
        <v>0</v>
      </c>
      <c r="AN102" s="51">
        <v>21</v>
      </c>
      <c r="AO102" s="51">
        <f>H102*0.923868512110727</f>
        <v>0</v>
      </c>
      <c r="AP102" s="51">
        <f>H102*(1-0.923868512110727)</f>
        <v>0</v>
      </c>
      <c r="AQ102" s="52" t="s">
        <v>13</v>
      </c>
      <c r="AV102" s="51">
        <f>AW102+AX102</f>
        <v>0</v>
      </c>
      <c r="AW102" s="51">
        <f>G102*AO102</f>
        <v>0</v>
      </c>
      <c r="AX102" s="51">
        <f>G102*AP102</f>
        <v>0</v>
      </c>
      <c r="AY102" s="54" t="s">
        <v>516</v>
      </c>
      <c r="AZ102" s="54" t="s">
        <v>537</v>
      </c>
      <c r="BA102" s="39" t="s">
        <v>553</v>
      </c>
      <c r="BC102" s="51">
        <f>AW102+AX102</f>
        <v>0</v>
      </c>
      <c r="BD102" s="51">
        <f>H102/(100-BE102)*100</f>
        <v>0</v>
      </c>
      <c r="BE102" s="51">
        <v>0</v>
      </c>
      <c r="BF102" s="51">
        <f>M102</f>
        <v>0.00216</v>
      </c>
      <c r="BH102" s="28">
        <f>G102*AO102</f>
        <v>0</v>
      </c>
      <c r="BI102" s="28">
        <f>G102*AP102</f>
        <v>0</v>
      </c>
      <c r="BJ102" s="28">
        <f>G102*H102</f>
        <v>0</v>
      </c>
      <c r="BK102" s="28" t="s">
        <v>561</v>
      </c>
      <c r="BL102" s="51">
        <v>722</v>
      </c>
    </row>
    <row r="103" spans="1:64" ht="12.75">
      <c r="A103" s="5" t="s">
        <v>49</v>
      </c>
      <c r="B103" s="16" t="s">
        <v>134</v>
      </c>
      <c r="C103" s="16" t="s">
        <v>183</v>
      </c>
      <c r="D103" s="161" t="s">
        <v>339</v>
      </c>
      <c r="E103" s="162"/>
      <c r="F103" s="16" t="s">
        <v>458</v>
      </c>
      <c r="G103" s="28">
        <v>2</v>
      </c>
      <c r="H103" s="28">
        <v>0</v>
      </c>
      <c r="I103" s="28">
        <f>G103*AO103</f>
        <v>0</v>
      </c>
      <c r="J103" s="28">
        <f>G103*AP103</f>
        <v>0</v>
      </c>
      <c r="K103" s="28">
        <f>G103*H103</f>
        <v>0</v>
      </c>
      <c r="L103" s="28">
        <v>2E-05</v>
      </c>
      <c r="M103" s="28">
        <f>G103*L103</f>
        <v>4E-05</v>
      </c>
      <c r="N103" s="45" t="s">
        <v>484</v>
      </c>
      <c r="O103" s="6"/>
      <c r="Z103" s="51">
        <f>IF(AQ103="5",BJ103,0)</f>
        <v>0</v>
      </c>
      <c r="AB103" s="51">
        <f>IF(AQ103="1",BH103,0)</f>
        <v>0</v>
      </c>
      <c r="AC103" s="51">
        <f>IF(AQ103="1",BI103,0)</f>
        <v>0</v>
      </c>
      <c r="AD103" s="51">
        <f>IF(AQ103="7",BH103,0)</f>
        <v>0</v>
      </c>
      <c r="AE103" s="51">
        <f>IF(AQ103="7",BI103,0)</f>
        <v>0</v>
      </c>
      <c r="AF103" s="51">
        <f>IF(AQ103="2",BH103,0)</f>
        <v>0</v>
      </c>
      <c r="AG103" s="51">
        <f>IF(AQ103="2",BI103,0)</f>
        <v>0</v>
      </c>
      <c r="AH103" s="51">
        <f>IF(AQ103="0",BJ103,0)</f>
        <v>0</v>
      </c>
      <c r="AI103" s="39" t="s">
        <v>134</v>
      </c>
      <c r="AJ103" s="28">
        <f>IF(AN103=0,K103,0)</f>
        <v>0</v>
      </c>
      <c r="AK103" s="28">
        <f>IF(AN103=15,K103,0)</f>
        <v>0</v>
      </c>
      <c r="AL103" s="28">
        <f>IF(AN103=21,K103,0)</f>
        <v>0</v>
      </c>
      <c r="AN103" s="51">
        <v>21</v>
      </c>
      <c r="AO103" s="51">
        <f>H103*0.0134719744981215</f>
        <v>0</v>
      </c>
      <c r="AP103" s="51">
        <f>H103*(1-0.0134719744981215)</f>
        <v>0</v>
      </c>
      <c r="AQ103" s="52" t="s">
        <v>13</v>
      </c>
      <c r="AV103" s="51">
        <f>AW103+AX103</f>
        <v>0</v>
      </c>
      <c r="AW103" s="51">
        <f>G103*AO103</f>
        <v>0</v>
      </c>
      <c r="AX103" s="51">
        <f>G103*AP103</f>
        <v>0</v>
      </c>
      <c r="AY103" s="54" t="s">
        <v>516</v>
      </c>
      <c r="AZ103" s="54" t="s">
        <v>537</v>
      </c>
      <c r="BA103" s="39" t="s">
        <v>553</v>
      </c>
      <c r="BC103" s="51">
        <f>AW103+AX103</f>
        <v>0</v>
      </c>
      <c r="BD103" s="51">
        <f>H103/(100-BE103)*100</f>
        <v>0</v>
      </c>
      <c r="BE103" s="51">
        <v>0</v>
      </c>
      <c r="BF103" s="51">
        <f>M103</f>
        <v>4E-05</v>
      </c>
      <c r="BH103" s="28">
        <f>G103*AO103</f>
        <v>0</v>
      </c>
      <c r="BI103" s="28">
        <f>G103*AP103</f>
        <v>0</v>
      </c>
      <c r="BJ103" s="28">
        <f>G103*H103</f>
        <v>0</v>
      </c>
      <c r="BK103" s="28" t="s">
        <v>561</v>
      </c>
      <c r="BL103" s="51">
        <v>722</v>
      </c>
    </row>
    <row r="104" spans="1:64" ht="12.75">
      <c r="A104" s="5" t="s">
        <v>50</v>
      </c>
      <c r="B104" s="16" t="s">
        <v>134</v>
      </c>
      <c r="C104" s="16" t="s">
        <v>184</v>
      </c>
      <c r="D104" s="161" t="s">
        <v>340</v>
      </c>
      <c r="E104" s="162"/>
      <c r="F104" s="16" t="s">
        <v>458</v>
      </c>
      <c r="G104" s="28">
        <v>2</v>
      </c>
      <c r="H104" s="28">
        <v>0</v>
      </c>
      <c r="I104" s="28">
        <f>G104*AO104</f>
        <v>0</v>
      </c>
      <c r="J104" s="28">
        <f>G104*AP104</f>
        <v>0</v>
      </c>
      <c r="K104" s="28">
        <f>G104*H104</f>
        <v>0</v>
      </c>
      <c r="L104" s="28">
        <v>0.00036</v>
      </c>
      <c r="M104" s="28">
        <f>G104*L104</f>
        <v>0.00072</v>
      </c>
      <c r="N104" s="45" t="s">
        <v>484</v>
      </c>
      <c r="O104" s="6"/>
      <c r="Z104" s="51">
        <f>IF(AQ104="5",BJ104,0)</f>
        <v>0</v>
      </c>
      <c r="AB104" s="51">
        <f>IF(AQ104="1",BH104,0)</f>
        <v>0</v>
      </c>
      <c r="AC104" s="51">
        <f>IF(AQ104="1",BI104,0)</f>
        <v>0</v>
      </c>
      <c r="AD104" s="51">
        <f>IF(AQ104="7",BH104,0)</f>
        <v>0</v>
      </c>
      <c r="AE104" s="51">
        <f>IF(AQ104="7",BI104,0)</f>
        <v>0</v>
      </c>
      <c r="AF104" s="51">
        <f>IF(AQ104="2",BH104,0)</f>
        <v>0</v>
      </c>
      <c r="AG104" s="51">
        <f>IF(AQ104="2",BI104,0)</f>
        <v>0</v>
      </c>
      <c r="AH104" s="51">
        <f>IF(AQ104="0",BJ104,0)</f>
        <v>0</v>
      </c>
      <c r="AI104" s="39" t="s">
        <v>134</v>
      </c>
      <c r="AJ104" s="28">
        <f>IF(AN104=0,K104,0)</f>
        <v>0</v>
      </c>
      <c r="AK104" s="28">
        <f>IF(AN104=15,K104,0)</f>
        <v>0</v>
      </c>
      <c r="AL104" s="28">
        <f>IF(AN104=21,K104,0)</f>
        <v>0</v>
      </c>
      <c r="AN104" s="51">
        <v>21</v>
      </c>
      <c r="AO104" s="51">
        <f>H104*0.892925367594887</f>
        <v>0</v>
      </c>
      <c r="AP104" s="51">
        <f>H104*(1-0.892925367594887)</f>
        <v>0</v>
      </c>
      <c r="AQ104" s="52" t="s">
        <v>13</v>
      </c>
      <c r="AV104" s="51">
        <f>AW104+AX104</f>
        <v>0</v>
      </c>
      <c r="AW104" s="51">
        <f>G104*AO104</f>
        <v>0</v>
      </c>
      <c r="AX104" s="51">
        <f>G104*AP104</f>
        <v>0</v>
      </c>
      <c r="AY104" s="54" t="s">
        <v>516</v>
      </c>
      <c r="AZ104" s="54" t="s">
        <v>537</v>
      </c>
      <c r="BA104" s="39" t="s">
        <v>553</v>
      </c>
      <c r="BC104" s="51">
        <f>AW104+AX104</f>
        <v>0</v>
      </c>
      <c r="BD104" s="51">
        <f>H104/(100-BE104)*100</f>
        <v>0</v>
      </c>
      <c r="BE104" s="51">
        <v>0</v>
      </c>
      <c r="BF104" s="51">
        <f>M104</f>
        <v>0.00072</v>
      </c>
      <c r="BH104" s="28">
        <f>G104*AO104</f>
        <v>0</v>
      </c>
      <c r="BI104" s="28">
        <f>G104*AP104</f>
        <v>0</v>
      </c>
      <c r="BJ104" s="28">
        <f>G104*H104</f>
        <v>0</v>
      </c>
      <c r="BK104" s="28" t="s">
        <v>561</v>
      </c>
      <c r="BL104" s="51">
        <v>722</v>
      </c>
    </row>
    <row r="105" spans="1:64" ht="12.75">
      <c r="A105" s="5" t="s">
        <v>51</v>
      </c>
      <c r="B105" s="16" t="s">
        <v>134</v>
      </c>
      <c r="C105" s="16" t="s">
        <v>185</v>
      </c>
      <c r="D105" s="161" t="s">
        <v>341</v>
      </c>
      <c r="E105" s="162"/>
      <c r="F105" s="16" t="s">
        <v>458</v>
      </c>
      <c r="G105" s="28">
        <v>2</v>
      </c>
      <c r="H105" s="28">
        <v>0</v>
      </c>
      <c r="I105" s="28">
        <f>G105*AO105</f>
        <v>0</v>
      </c>
      <c r="J105" s="28">
        <f>G105*AP105</f>
        <v>0</v>
      </c>
      <c r="K105" s="28">
        <f>G105*H105</f>
        <v>0</v>
      </c>
      <c r="L105" s="28">
        <v>0.00027</v>
      </c>
      <c r="M105" s="28">
        <f>G105*L105</f>
        <v>0.00054</v>
      </c>
      <c r="N105" s="45" t="s">
        <v>484</v>
      </c>
      <c r="O105" s="6"/>
      <c r="Z105" s="51">
        <f>IF(AQ105="5",BJ105,0)</f>
        <v>0</v>
      </c>
      <c r="AB105" s="51">
        <f>IF(AQ105="1",BH105,0)</f>
        <v>0</v>
      </c>
      <c r="AC105" s="51">
        <f>IF(AQ105="1",BI105,0)</f>
        <v>0</v>
      </c>
      <c r="AD105" s="51">
        <f>IF(AQ105="7",BH105,0)</f>
        <v>0</v>
      </c>
      <c r="AE105" s="51">
        <f>IF(AQ105="7",BI105,0)</f>
        <v>0</v>
      </c>
      <c r="AF105" s="51">
        <f>IF(AQ105="2",BH105,0)</f>
        <v>0</v>
      </c>
      <c r="AG105" s="51">
        <f>IF(AQ105="2",BI105,0)</f>
        <v>0</v>
      </c>
      <c r="AH105" s="51">
        <f>IF(AQ105="0",BJ105,0)</f>
        <v>0</v>
      </c>
      <c r="AI105" s="39" t="s">
        <v>134</v>
      </c>
      <c r="AJ105" s="28">
        <f>IF(AN105=0,K105,0)</f>
        <v>0</v>
      </c>
      <c r="AK105" s="28">
        <f>IF(AN105=15,K105,0)</f>
        <v>0</v>
      </c>
      <c r="AL105" s="28">
        <f>IF(AN105=21,K105,0)</f>
        <v>0</v>
      </c>
      <c r="AN105" s="51">
        <v>21</v>
      </c>
      <c r="AO105" s="51">
        <f>H105*0.506678938334867</f>
        <v>0</v>
      </c>
      <c r="AP105" s="51">
        <f>H105*(1-0.506678938334867)</f>
        <v>0</v>
      </c>
      <c r="AQ105" s="52" t="s">
        <v>13</v>
      </c>
      <c r="AV105" s="51">
        <f>AW105+AX105</f>
        <v>0</v>
      </c>
      <c r="AW105" s="51">
        <f>G105*AO105</f>
        <v>0</v>
      </c>
      <c r="AX105" s="51">
        <f>G105*AP105</f>
        <v>0</v>
      </c>
      <c r="AY105" s="54" t="s">
        <v>516</v>
      </c>
      <c r="AZ105" s="54" t="s">
        <v>537</v>
      </c>
      <c r="BA105" s="39" t="s">
        <v>553</v>
      </c>
      <c r="BC105" s="51">
        <f>AW105+AX105</f>
        <v>0</v>
      </c>
      <c r="BD105" s="51">
        <f>H105/(100-BE105)*100</f>
        <v>0</v>
      </c>
      <c r="BE105" s="51">
        <v>0</v>
      </c>
      <c r="BF105" s="51">
        <f>M105</f>
        <v>0.00054</v>
      </c>
      <c r="BH105" s="28">
        <f>G105*AO105</f>
        <v>0</v>
      </c>
      <c r="BI105" s="28">
        <f>G105*AP105</f>
        <v>0</v>
      </c>
      <c r="BJ105" s="28">
        <f>G105*H105</f>
        <v>0</v>
      </c>
      <c r="BK105" s="28" t="s">
        <v>561</v>
      </c>
      <c r="BL105" s="51">
        <v>722</v>
      </c>
    </row>
    <row r="106" spans="1:64" ht="12.75">
      <c r="A106" s="5" t="s">
        <v>52</v>
      </c>
      <c r="B106" s="16" t="s">
        <v>134</v>
      </c>
      <c r="C106" s="16" t="s">
        <v>186</v>
      </c>
      <c r="D106" s="161" t="s">
        <v>342</v>
      </c>
      <c r="E106" s="162"/>
      <c r="F106" s="16" t="s">
        <v>464</v>
      </c>
      <c r="G106" s="28">
        <v>2</v>
      </c>
      <c r="H106" s="28">
        <v>0</v>
      </c>
      <c r="I106" s="28">
        <f>G106*AO106</f>
        <v>0</v>
      </c>
      <c r="J106" s="28">
        <f>G106*AP106</f>
        <v>0</v>
      </c>
      <c r="K106" s="28">
        <f>G106*H106</f>
        <v>0</v>
      </c>
      <c r="L106" s="28">
        <v>0.01</v>
      </c>
      <c r="M106" s="28">
        <f>G106*L106</f>
        <v>0.02</v>
      </c>
      <c r="N106" s="45" t="s">
        <v>484</v>
      </c>
      <c r="O106" s="6"/>
      <c r="Z106" s="51">
        <f>IF(AQ106="5",BJ106,0)</f>
        <v>0</v>
      </c>
      <c r="AB106" s="51">
        <f>IF(AQ106="1",BH106,0)</f>
        <v>0</v>
      </c>
      <c r="AC106" s="51">
        <f>IF(AQ106="1",BI106,0)</f>
        <v>0</v>
      </c>
      <c r="AD106" s="51">
        <f>IF(AQ106="7",BH106,0)</f>
        <v>0</v>
      </c>
      <c r="AE106" s="51">
        <f>IF(AQ106="7",BI106,0)</f>
        <v>0</v>
      </c>
      <c r="AF106" s="51">
        <f>IF(AQ106="2",BH106,0)</f>
        <v>0</v>
      </c>
      <c r="AG106" s="51">
        <f>IF(AQ106="2",BI106,0)</f>
        <v>0</v>
      </c>
      <c r="AH106" s="51">
        <f>IF(AQ106="0",BJ106,0)</f>
        <v>0</v>
      </c>
      <c r="AI106" s="39" t="s">
        <v>134</v>
      </c>
      <c r="AJ106" s="28">
        <f>IF(AN106=0,K106,0)</f>
        <v>0</v>
      </c>
      <c r="AK106" s="28">
        <f>IF(AN106=15,K106,0)</f>
        <v>0</v>
      </c>
      <c r="AL106" s="28">
        <f>IF(AN106=21,K106,0)</f>
        <v>0</v>
      </c>
      <c r="AN106" s="51">
        <v>21</v>
      </c>
      <c r="AO106" s="51">
        <f>H106*0.873837001784652</f>
        <v>0</v>
      </c>
      <c r="AP106" s="51">
        <f>H106*(1-0.873837001784652)</f>
        <v>0</v>
      </c>
      <c r="AQ106" s="52" t="s">
        <v>13</v>
      </c>
      <c r="AV106" s="51">
        <f>AW106+AX106</f>
        <v>0</v>
      </c>
      <c r="AW106" s="51">
        <f>G106*AO106</f>
        <v>0</v>
      </c>
      <c r="AX106" s="51">
        <f>G106*AP106</f>
        <v>0</v>
      </c>
      <c r="AY106" s="54" t="s">
        <v>516</v>
      </c>
      <c r="AZ106" s="54" t="s">
        <v>537</v>
      </c>
      <c r="BA106" s="39" t="s">
        <v>553</v>
      </c>
      <c r="BC106" s="51">
        <f>AW106+AX106</f>
        <v>0</v>
      </c>
      <c r="BD106" s="51">
        <f>H106/(100-BE106)*100</f>
        <v>0</v>
      </c>
      <c r="BE106" s="51">
        <v>0</v>
      </c>
      <c r="BF106" s="51">
        <f>M106</f>
        <v>0.02</v>
      </c>
      <c r="BH106" s="28">
        <f>G106*AO106</f>
        <v>0</v>
      </c>
      <c r="BI106" s="28">
        <f>G106*AP106</f>
        <v>0</v>
      </c>
      <c r="BJ106" s="28">
        <f>G106*H106</f>
        <v>0</v>
      </c>
      <c r="BK106" s="28" t="s">
        <v>561</v>
      </c>
      <c r="BL106" s="51">
        <v>722</v>
      </c>
    </row>
    <row r="107" spans="1:15" ht="12.75">
      <c r="A107" s="6"/>
      <c r="C107" s="20" t="s">
        <v>141</v>
      </c>
      <c r="D107" s="163" t="s">
        <v>343</v>
      </c>
      <c r="E107" s="164"/>
      <c r="F107" s="164"/>
      <c r="G107" s="164"/>
      <c r="H107" s="164"/>
      <c r="I107" s="164"/>
      <c r="J107" s="164"/>
      <c r="K107" s="164"/>
      <c r="L107" s="164"/>
      <c r="M107" s="164"/>
      <c r="N107" s="165"/>
      <c r="O107" s="6"/>
    </row>
    <row r="108" spans="1:64" ht="12.75">
      <c r="A108" s="5" t="s">
        <v>53</v>
      </c>
      <c r="B108" s="16" t="s">
        <v>134</v>
      </c>
      <c r="C108" s="16" t="s">
        <v>187</v>
      </c>
      <c r="D108" s="161" t="s">
        <v>344</v>
      </c>
      <c r="E108" s="162"/>
      <c r="F108" s="16" t="s">
        <v>458</v>
      </c>
      <c r="G108" s="28">
        <v>1</v>
      </c>
      <c r="H108" s="28">
        <v>0</v>
      </c>
      <c r="I108" s="28">
        <f>G108*AO108</f>
        <v>0</v>
      </c>
      <c r="J108" s="28">
        <f>G108*AP108</f>
        <v>0</v>
      </c>
      <c r="K108" s="28">
        <f>G108*H108</f>
        <v>0</v>
      </c>
      <c r="L108" s="28">
        <v>0.0016</v>
      </c>
      <c r="M108" s="28">
        <f>G108*L108</f>
        <v>0.0016</v>
      </c>
      <c r="N108" s="45" t="s">
        <v>484</v>
      </c>
      <c r="O108" s="6"/>
      <c r="Z108" s="51">
        <f>IF(AQ108="5",BJ108,0)</f>
        <v>0</v>
      </c>
      <c r="AB108" s="51">
        <f>IF(AQ108="1",BH108,0)</f>
        <v>0</v>
      </c>
      <c r="AC108" s="51">
        <f>IF(AQ108="1",BI108,0)</f>
        <v>0</v>
      </c>
      <c r="AD108" s="51">
        <f>IF(AQ108="7",BH108,0)</f>
        <v>0</v>
      </c>
      <c r="AE108" s="51">
        <f>IF(AQ108="7",BI108,0)</f>
        <v>0</v>
      </c>
      <c r="AF108" s="51">
        <f>IF(AQ108="2",BH108,0)</f>
        <v>0</v>
      </c>
      <c r="AG108" s="51">
        <f>IF(AQ108="2",BI108,0)</f>
        <v>0</v>
      </c>
      <c r="AH108" s="51">
        <f>IF(AQ108="0",BJ108,0)</f>
        <v>0</v>
      </c>
      <c r="AI108" s="39" t="s">
        <v>134</v>
      </c>
      <c r="AJ108" s="28">
        <f>IF(AN108=0,K108,0)</f>
        <v>0</v>
      </c>
      <c r="AK108" s="28">
        <f>IF(AN108=15,K108,0)</f>
        <v>0</v>
      </c>
      <c r="AL108" s="28">
        <f>IF(AN108=21,K108,0)</f>
        <v>0</v>
      </c>
      <c r="AN108" s="51">
        <v>21</v>
      </c>
      <c r="AO108" s="51">
        <f>H108*0.950538522637014</f>
        <v>0</v>
      </c>
      <c r="AP108" s="51">
        <f>H108*(1-0.950538522637014)</f>
        <v>0</v>
      </c>
      <c r="AQ108" s="52" t="s">
        <v>13</v>
      </c>
      <c r="AV108" s="51">
        <f>AW108+AX108</f>
        <v>0</v>
      </c>
      <c r="AW108" s="51">
        <f>G108*AO108</f>
        <v>0</v>
      </c>
      <c r="AX108" s="51">
        <f>G108*AP108</f>
        <v>0</v>
      </c>
      <c r="AY108" s="54" t="s">
        <v>516</v>
      </c>
      <c r="AZ108" s="54" t="s">
        <v>537</v>
      </c>
      <c r="BA108" s="39" t="s">
        <v>553</v>
      </c>
      <c r="BC108" s="51">
        <f>AW108+AX108</f>
        <v>0</v>
      </c>
      <c r="BD108" s="51">
        <f>H108/(100-BE108)*100</f>
        <v>0</v>
      </c>
      <c r="BE108" s="51">
        <v>0</v>
      </c>
      <c r="BF108" s="51">
        <f>M108</f>
        <v>0.0016</v>
      </c>
      <c r="BH108" s="28">
        <f>G108*AO108</f>
        <v>0</v>
      </c>
      <c r="BI108" s="28">
        <f>G108*AP108</f>
        <v>0</v>
      </c>
      <c r="BJ108" s="28">
        <f>G108*H108</f>
        <v>0</v>
      </c>
      <c r="BK108" s="28" t="s">
        <v>561</v>
      </c>
      <c r="BL108" s="51">
        <v>722</v>
      </c>
    </row>
    <row r="109" spans="1:64" ht="12.75">
      <c r="A109" s="5" t="s">
        <v>54</v>
      </c>
      <c r="B109" s="16" t="s">
        <v>134</v>
      </c>
      <c r="C109" s="16" t="s">
        <v>188</v>
      </c>
      <c r="D109" s="161" t="s">
        <v>345</v>
      </c>
      <c r="E109" s="162"/>
      <c r="F109" s="16" t="s">
        <v>458</v>
      </c>
      <c r="G109" s="28">
        <v>1</v>
      </c>
      <c r="H109" s="28">
        <v>0</v>
      </c>
      <c r="I109" s="28">
        <f>G109*AO109</f>
        <v>0</v>
      </c>
      <c r="J109" s="28">
        <f>G109*AP109</f>
        <v>0</v>
      </c>
      <c r="K109" s="28">
        <f>G109*H109</f>
        <v>0</v>
      </c>
      <c r="L109" s="28">
        <v>0.00359</v>
      </c>
      <c r="M109" s="28">
        <f>G109*L109</f>
        <v>0.00359</v>
      </c>
      <c r="N109" s="45" t="s">
        <v>484</v>
      </c>
      <c r="O109" s="6"/>
      <c r="Z109" s="51">
        <f>IF(AQ109="5",BJ109,0)</f>
        <v>0</v>
      </c>
      <c r="AB109" s="51">
        <f>IF(AQ109="1",BH109,0)</f>
        <v>0</v>
      </c>
      <c r="AC109" s="51">
        <f>IF(AQ109="1",BI109,0)</f>
        <v>0</v>
      </c>
      <c r="AD109" s="51">
        <f>IF(AQ109="7",BH109,0)</f>
        <v>0</v>
      </c>
      <c r="AE109" s="51">
        <f>IF(AQ109="7",BI109,0)</f>
        <v>0</v>
      </c>
      <c r="AF109" s="51">
        <f>IF(AQ109="2",BH109,0)</f>
        <v>0</v>
      </c>
      <c r="AG109" s="51">
        <f>IF(AQ109="2",BI109,0)</f>
        <v>0</v>
      </c>
      <c r="AH109" s="51">
        <f>IF(AQ109="0",BJ109,0)</f>
        <v>0</v>
      </c>
      <c r="AI109" s="39" t="s">
        <v>134</v>
      </c>
      <c r="AJ109" s="28">
        <f>IF(AN109=0,K109,0)</f>
        <v>0</v>
      </c>
      <c r="AK109" s="28">
        <f>IF(AN109=15,K109,0)</f>
        <v>0</v>
      </c>
      <c r="AL109" s="28">
        <f>IF(AN109=21,K109,0)</f>
        <v>0</v>
      </c>
      <c r="AN109" s="51">
        <v>21</v>
      </c>
      <c r="AO109" s="51">
        <f>H109*0.571153278588913</f>
        <v>0</v>
      </c>
      <c r="AP109" s="51">
        <f>H109*(1-0.571153278588913)</f>
        <v>0</v>
      </c>
      <c r="AQ109" s="52" t="s">
        <v>13</v>
      </c>
      <c r="AV109" s="51">
        <f>AW109+AX109</f>
        <v>0</v>
      </c>
      <c r="AW109" s="51">
        <f>G109*AO109</f>
        <v>0</v>
      </c>
      <c r="AX109" s="51">
        <f>G109*AP109</f>
        <v>0</v>
      </c>
      <c r="AY109" s="54" t="s">
        <v>516</v>
      </c>
      <c r="AZ109" s="54" t="s">
        <v>537</v>
      </c>
      <c r="BA109" s="39" t="s">
        <v>553</v>
      </c>
      <c r="BC109" s="51">
        <f>AW109+AX109</f>
        <v>0</v>
      </c>
      <c r="BD109" s="51">
        <f>H109/(100-BE109)*100</f>
        <v>0</v>
      </c>
      <c r="BE109" s="51">
        <v>0</v>
      </c>
      <c r="BF109" s="51">
        <f>M109</f>
        <v>0.00359</v>
      </c>
      <c r="BH109" s="28">
        <f>G109*AO109</f>
        <v>0</v>
      </c>
      <c r="BI109" s="28">
        <f>G109*AP109</f>
        <v>0</v>
      </c>
      <c r="BJ109" s="28">
        <f>G109*H109</f>
        <v>0</v>
      </c>
      <c r="BK109" s="28" t="s">
        <v>561</v>
      </c>
      <c r="BL109" s="51">
        <v>722</v>
      </c>
    </row>
    <row r="110" spans="1:47" ht="12.75">
      <c r="A110" s="4"/>
      <c r="B110" s="15" t="s">
        <v>134</v>
      </c>
      <c r="C110" s="15" t="s">
        <v>91</v>
      </c>
      <c r="D110" s="166" t="s">
        <v>346</v>
      </c>
      <c r="E110" s="167"/>
      <c r="F110" s="25" t="s">
        <v>6</v>
      </c>
      <c r="G110" s="25" t="s">
        <v>6</v>
      </c>
      <c r="H110" s="25" t="s">
        <v>6</v>
      </c>
      <c r="I110" s="57">
        <f>SUM(I111:I115)</f>
        <v>0</v>
      </c>
      <c r="J110" s="57">
        <f>SUM(J111:J115)</f>
        <v>0</v>
      </c>
      <c r="K110" s="57">
        <f>SUM(K111:K115)</f>
        <v>0</v>
      </c>
      <c r="L110" s="39"/>
      <c r="M110" s="57">
        <f>SUM(M111:M115)</f>
        <v>0.049789999999999994</v>
      </c>
      <c r="N110" s="44"/>
      <c r="O110" s="6"/>
      <c r="AI110" s="39" t="s">
        <v>134</v>
      </c>
      <c r="AS110" s="57">
        <f>SUM(AJ111:AJ115)</f>
        <v>0</v>
      </c>
      <c r="AT110" s="57">
        <f>SUM(AK111:AK115)</f>
        <v>0</v>
      </c>
      <c r="AU110" s="57">
        <f>SUM(AL111:AL115)</f>
        <v>0</v>
      </c>
    </row>
    <row r="111" spans="1:64" ht="12.75">
      <c r="A111" s="5" t="s">
        <v>55</v>
      </c>
      <c r="B111" s="16" t="s">
        <v>134</v>
      </c>
      <c r="C111" s="16" t="s">
        <v>189</v>
      </c>
      <c r="D111" s="161" t="s">
        <v>347</v>
      </c>
      <c r="E111" s="162"/>
      <c r="F111" s="16" t="s">
        <v>458</v>
      </c>
      <c r="G111" s="28">
        <v>1</v>
      </c>
      <c r="H111" s="28">
        <v>0</v>
      </c>
      <c r="I111" s="28">
        <f>G111*AO111</f>
        <v>0</v>
      </c>
      <c r="J111" s="28">
        <f>G111*AP111</f>
        <v>0</v>
      </c>
      <c r="K111" s="28">
        <f>G111*H111</f>
        <v>0</v>
      </c>
      <c r="L111" s="28">
        <v>0</v>
      </c>
      <c r="M111" s="28">
        <f>G111*L111</f>
        <v>0</v>
      </c>
      <c r="N111" s="45" t="s">
        <v>484</v>
      </c>
      <c r="O111" s="6"/>
      <c r="Z111" s="51">
        <f>IF(AQ111="5",BJ111,0)</f>
        <v>0</v>
      </c>
      <c r="AB111" s="51">
        <f>IF(AQ111="1",BH111,0)</f>
        <v>0</v>
      </c>
      <c r="AC111" s="51">
        <f>IF(AQ111="1",BI111,0)</f>
        <v>0</v>
      </c>
      <c r="AD111" s="51">
        <f>IF(AQ111="7",BH111,0)</f>
        <v>0</v>
      </c>
      <c r="AE111" s="51">
        <f>IF(AQ111="7",BI111,0)</f>
        <v>0</v>
      </c>
      <c r="AF111" s="51">
        <f>IF(AQ111="2",BH111,0)</f>
        <v>0</v>
      </c>
      <c r="AG111" s="51">
        <f>IF(AQ111="2",BI111,0)</f>
        <v>0</v>
      </c>
      <c r="AH111" s="51">
        <f>IF(AQ111="0",BJ111,0)</f>
        <v>0</v>
      </c>
      <c r="AI111" s="39" t="s">
        <v>134</v>
      </c>
      <c r="AJ111" s="28">
        <f>IF(AN111=0,K111,0)</f>
        <v>0</v>
      </c>
      <c r="AK111" s="28">
        <f>IF(AN111=15,K111,0)</f>
        <v>0</v>
      </c>
      <c r="AL111" s="28">
        <f>IF(AN111=21,K111,0)</f>
        <v>0</v>
      </c>
      <c r="AN111" s="51">
        <v>21</v>
      </c>
      <c r="AO111" s="51">
        <f>H111*0</f>
        <v>0</v>
      </c>
      <c r="AP111" s="51">
        <f>H111*(1-0)</f>
        <v>0</v>
      </c>
      <c r="AQ111" s="52" t="s">
        <v>7</v>
      </c>
      <c r="AV111" s="51">
        <f>AW111+AX111</f>
        <v>0</v>
      </c>
      <c r="AW111" s="51">
        <f>G111*AO111</f>
        <v>0</v>
      </c>
      <c r="AX111" s="51">
        <f>G111*AP111</f>
        <v>0</v>
      </c>
      <c r="AY111" s="54" t="s">
        <v>517</v>
      </c>
      <c r="AZ111" s="54" t="s">
        <v>538</v>
      </c>
      <c r="BA111" s="39" t="s">
        <v>553</v>
      </c>
      <c r="BC111" s="51">
        <f>AW111+AX111</f>
        <v>0</v>
      </c>
      <c r="BD111" s="51">
        <f>H111/(100-BE111)*100</f>
        <v>0</v>
      </c>
      <c r="BE111" s="51">
        <v>0</v>
      </c>
      <c r="BF111" s="51">
        <f>M111</f>
        <v>0</v>
      </c>
      <c r="BH111" s="28">
        <f>G111*AO111</f>
        <v>0</v>
      </c>
      <c r="BI111" s="28">
        <f>G111*AP111</f>
        <v>0</v>
      </c>
      <c r="BJ111" s="28">
        <f>G111*H111</f>
        <v>0</v>
      </c>
      <c r="BK111" s="28" t="s">
        <v>561</v>
      </c>
      <c r="BL111" s="51">
        <v>85</v>
      </c>
    </row>
    <row r="112" spans="1:64" ht="12.75">
      <c r="A112" s="5" t="s">
        <v>56</v>
      </c>
      <c r="B112" s="16" t="s">
        <v>134</v>
      </c>
      <c r="C112" s="16" t="s">
        <v>190</v>
      </c>
      <c r="D112" s="161" t="s">
        <v>348</v>
      </c>
      <c r="E112" s="162"/>
      <c r="F112" s="16" t="s">
        <v>458</v>
      </c>
      <c r="G112" s="28">
        <v>1</v>
      </c>
      <c r="H112" s="28">
        <v>0</v>
      </c>
      <c r="I112" s="28">
        <f>G112*AO112</f>
        <v>0</v>
      </c>
      <c r="J112" s="28">
        <f>G112*AP112</f>
        <v>0</v>
      </c>
      <c r="K112" s="28">
        <f>G112*H112</f>
        <v>0</v>
      </c>
      <c r="L112" s="28">
        <v>0.00298</v>
      </c>
      <c r="M112" s="28">
        <f>G112*L112</f>
        <v>0.00298</v>
      </c>
      <c r="N112" s="45" t="s">
        <v>484</v>
      </c>
      <c r="O112" s="6"/>
      <c r="Z112" s="51">
        <f>IF(AQ112="5",BJ112,0)</f>
        <v>0</v>
      </c>
      <c r="AB112" s="51">
        <f>IF(AQ112="1",BH112,0)</f>
        <v>0</v>
      </c>
      <c r="AC112" s="51">
        <f>IF(AQ112="1",BI112,0)</f>
        <v>0</v>
      </c>
      <c r="AD112" s="51">
        <f>IF(AQ112="7",BH112,0)</f>
        <v>0</v>
      </c>
      <c r="AE112" s="51">
        <f>IF(AQ112="7",BI112,0)</f>
        <v>0</v>
      </c>
      <c r="AF112" s="51">
        <f>IF(AQ112="2",BH112,0)</f>
        <v>0</v>
      </c>
      <c r="AG112" s="51">
        <f>IF(AQ112="2",BI112,0)</f>
        <v>0</v>
      </c>
      <c r="AH112" s="51">
        <f>IF(AQ112="0",BJ112,0)</f>
        <v>0</v>
      </c>
      <c r="AI112" s="39" t="s">
        <v>134</v>
      </c>
      <c r="AJ112" s="28">
        <f>IF(AN112=0,K112,0)</f>
        <v>0</v>
      </c>
      <c r="AK112" s="28">
        <f>IF(AN112=15,K112,0)</f>
        <v>0</v>
      </c>
      <c r="AL112" s="28">
        <f>IF(AN112=21,K112,0)</f>
        <v>0</v>
      </c>
      <c r="AN112" s="51">
        <v>21</v>
      </c>
      <c r="AO112" s="51">
        <f>H112*0.309676113360324</f>
        <v>0</v>
      </c>
      <c r="AP112" s="51">
        <f>H112*(1-0.309676113360324)</f>
        <v>0</v>
      </c>
      <c r="AQ112" s="52" t="s">
        <v>7</v>
      </c>
      <c r="AV112" s="51">
        <f>AW112+AX112</f>
        <v>0</v>
      </c>
      <c r="AW112" s="51">
        <f>G112*AO112</f>
        <v>0</v>
      </c>
      <c r="AX112" s="51">
        <f>G112*AP112</f>
        <v>0</v>
      </c>
      <c r="AY112" s="54" t="s">
        <v>517</v>
      </c>
      <c r="AZ112" s="54" t="s">
        <v>538</v>
      </c>
      <c r="BA112" s="39" t="s">
        <v>553</v>
      </c>
      <c r="BC112" s="51">
        <f>AW112+AX112</f>
        <v>0</v>
      </c>
      <c r="BD112" s="51">
        <f>H112/(100-BE112)*100</f>
        <v>0</v>
      </c>
      <c r="BE112" s="51">
        <v>0</v>
      </c>
      <c r="BF112" s="51">
        <f>M112</f>
        <v>0.00298</v>
      </c>
      <c r="BH112" s="28">
        <f>G112*AO112</f>
        <v>0</v>
      </c>
      <c r="BI112" s="28">
        <f>G112*AP112</f>
        <v>0</v>
      </c>
      <c r="BJ112" s="28">
        <f>G112*H112</f>
        <v>0</v>
      </c>
      <c r="BK112" s="28" t="s">
        <v>561</v>
      </c>
      <c r="BL112" s="51">
        <v>85</v>
      </c>
    </row>
    <row r="113" spans="1:64" ht="12.75">
      <c r="A113" s="8" t="s">
        <v>57</v>
      </c>
      <c r="B113" s="18" t="s">
        <v>134</v>
      </c>
      <c r="C113" s="18" t="s">
        <v>191</v>
      </c>
      <c r="D113" s="175" t="s">
        <v>349</v>
      </c>
      <c r="E113" s="176"/>
      <c r="F113" s="18" t="s">
        <v>458</v>
      </c>
      <c r="G113" s="30">
        <v>1</v>
      </c>
      <c r="H113" s="30">
        <v>0</v>
      </c>
      <c r="I113" s="30">
        <f>G113*AO113</f>
        <v>0</v>
      </c>
      <c r="J113" s="30">
        <f>G113*AP113</f>
        <v>0</v>
      </c>
      <c r="K113" s="30">
        <f>G113*H113</f>
        <v>0</v>
      </c>
      <c r="L113" s="30">
        <v>0.0295</v>
      </c>
      <c r="M113" s="30">
        <f>G113*L113</f>
        <v>0.0295</v>
      </c>
      <c r="N113" s="48" t="s">
        <v>484</v>
      </c>
      <c r="O113" s="6"/>
      <c r="Z113" s="51">
        <f>IF(AQ113="5",BJ113,0)</f>
        <v>0</v>
      </c>
      <c r="AB113" s="51">
        <f>IF(AQ113="1",BH113,0)</f>
        <v>0</v>
      </c>
      <c r="AC113" s="51">
        <f>IF(AQ113="1",BI113,0)</f>
        <v>0</v>
      </c>
      <c r="AD113" s="51">
        <f>IF(AQ113="7",BH113,0)</f>
        <v>0</v>
      </c>
      <c r="AE113" s="51">
        <f>IF(AQ113="7",BI113,0)</f>
        <v>0</v>
      </c>
      <c r="AF113" s="51">
        <f>IF(AQ113="2",BH113,0)</f>
        <v>0</v>
      </c>
      <c r="AG113" s="51">
        <f>IF(AQ113="2",BI113,0)</f>
        <v>0</v>
      </c>
      <c r="AH113" s="51">
        <f>IF(AQ113="0",BJ113,0)</f>
        <v>0</v>
      </c>
      <c r="AI113" s="39" t="s">
        <v>134</v>
      </c>
      <c r="AJ113" s="30">
        <f>IF(AN113=0,K113,0)</f>
        <v>0</v>
      </c>
      <c r="AK113" s="30">
        <f>IF(AN113=15,K113,0)</f>
        <v>0</v>
      </c>
      <c r="AL113" s="30">
        <f>IF(AN113=21,K113,0)</f>
        <v>0</v>
      </c>
      <c r="AN113" s="51">
        <v>21</v>
      </c>
      <c r="AO113" s="51">
        <f>H113*1</f>
        <v>0</v>
      </c>
      <c r="AP113" s="51">
        <f>H113*(1-1)</f>
        <v>0</v>
      </c>
      <c r="AQ113" s="53" t="s">
        <v>7</v>
      </c>
      <c r="AV113" s="51">
        <f>AW113+AX113</f>
        <v>0</v>
      </c>
      <c r="AW113" s="51">
        <f>G113*AO113</f>
        <v>0</v>
      </c>
      <c r="AX113" s="51">
        <f>G113*AP113</f>
        <v>0</v>
      </c>
      <c r="AY113" s="54" t="s">
        <v>517</v>
      </c>
      <c r="AZ113" s="54" t="s">
        <v>538</v>
      </c>
      <c r="BA113" s="39" t="s">
        <v>553</v>
      </c>
      <c r="BC113" s="51">
        <f>AW113+AX113</f>
        <v>0</v>
      </c>
      <c r="BD113" s="51">
        <f>H113/(100-BE113)*100</f>
        <v>0</v>
      </c>
      <c r="BE113" s="51">
        <v>0</v>
      </c>
      <c r="BF113" s="51">
        <f>M113</f>
        <v>0.0295</v>
      </c>
      <c r="BH113" s="30">
        <f>G113*AO113</f>
        <v>0</v>
      </c>
      <c r="BI113" s="30">
        <f>G113*AP113</f>
        <v>0</v>
      </c>
      <c r="BJ113" s="30">
        <f>G113*H113</f>
        <v>0</v>
      </c>
      <c r="BK113" s="30" t="s">
        <v>562</v>
      </c>
      <c r="BL113" s="51">
        <v>85</v>
      </c>
    </row>
    <row r="114" spans="1:64" ht="12.75">
      <c r="A114" s="5" t="s">
        <v>58</v>
      </c>
      <c r="B114" s="16" t="s">
        <v>134</v>
      </c>
      <c r="C114" s="16" t="s">
        <v>192</v>
      </c>
      <c r="D114" s="161" t="s">
        <v>350</v>
      </c>
      <c r="E114" s="162"/>
      <c r="F114" s="16" t="s">
        <v>458</v>
      </c>
      <c r="G114" s="28">
        <v>1</v>
      </c>
      <c r="H114" s="28">
        <v>0</v>
      </c>
      <c r="I114" s="28">
        <f>G114*AO114</f>
        <v>0</v>
      </c>
      <c r="J114" s="28">
        <f>G114*AP114</f>
        <v>0</v>
      </c>
      <c r="K114" s="28">
        <f>G114*H114</f>
        <v>0</v>
      </c>
      <c r="L114" s="28">
        <v>0.00041</v>
      </c>
      <c r="M114" s="28">
        <f>G114*L114</f>
        <v>0.00041</v>
      </c>
      <c r="N114" s="45" t="s">
        <v>484</v>
      </c>
      <c r="O114" s="6"/>
      <c r="Z114" s="51">
        <f>IF(AQ114="5",BJ114,0)</f>
        <v>0</v>
      </c>
      <c r="AB114" s="51">
        <f>IF(AQ114="1",BH114,0)</f>
        <v>0</v>
      </c>
      <c r="AC114" s="51">
        <f>IF(AQ114="1",BI114,0)</f>
        <v>0</v>
      </c>
      <c r="AD114" s="51">
        <f>IF(AQ114="7",BH114,0)</f>
        <v>0</v>
      </c>
      <c r="AE114" s="51">
        <f>IF(AQ114="7",BI114,0)</f>
        <v>0</v>
      </c>
      <c r="AF114" s="51">
        <f>IF(AQ114="2",BH114,0)</f>
        <v>0</v>
      </c>
      <c r="AG114" s="51">
        <f>IF(AQ114="2",BI114,0)</f>
        <v>0</v>
      </c>
      <c r="AH114" s="51">
        <f>IF(AQ114="0",BJ114,0)</f>
        <v>0</v>
      </c>
      <c r="AI114" s="39" t="s">
        <v>134</v>
      </c>
      <c r="AJ114" s="28">
        <f>IF(AN114=0,K114,0)</f>
        <v>0</v>
      </c>
      <c r="AK114" s="28">
        <f>IF(AN114=15,K114,0)</f>
        <v>0</v>
      </c>
      <c r="AL114" s="28">
        <f>IF(AN114=21,K114,0)</f>
        <v>0</v>
      </c>
      <c r="AN114" s="51">
        <v>21</v>
      </c>
      <c r="AO114" s="51">
        <f>H114*0.297946902654867</f>
        <v>0</v>
      </c>
      <c r="AP114" s="51">
        <f>H114*(1-0.297946902654867)</f>
        <v>0</v>
      </c>
      <c r="AQ114" s="52" t="s">
        <v>7</v>
      </c>
      <c r="AV114" s="51">
        <f>AW114+AX114</f>
        <v>0</v>
      </c>
      <c r="AW114" s="51">
        <f>G114*AO114</f>
        <v>0</v>
      </c>
      <c r="AX114" s="51">
        <f>G114*AP114</f>
        <v>0</v>
      </c>
      <c r="AY114" s="54" t="s">
        <v>517</v>
      </c>
      <c r="AZ114" s="54" t="s">
        <v>538</v>
      </c>
      <c r="BA114" s="39" t="s">
        <v>553</v>
      </c>
      <c r="BC114" s="51">
        <f>AW114+AX114</f>
        <v>0</v>
      </c>
      <c r="BD114" s="51">
        <f>H114/(100-BE114)*100</f>
        <v>0</v>
      </c>
      <c r="BE114" s="51">
        <v>0</v>
      </c>
      <c r="BF114" s="51">
        <f>M114</f>
        <v>0.00041</v>
      </c>
      <c r="BH114" s="28">
        <f>G114*AO114</f>
        <v>0</v>
      </c>
      <c r="BI114" s="28">
        <f>G114*AP114</f>
        <v>0</v>
      </c>
      <c r="BJ114" s="28">
        <f>G114*H114</f>
        <v>0</v>
      </c>
      <c r="BK114" s="28" t="s">
        <v>561</v>
      </c>
      <c r="BL114" s="51">
        <v>85</v>
      </c>
    </row>
    <row r="115" spans="1:64" ht="12.75">
      <c r="A115" s="8" t="s">
        <v>59</v>
      </c>
      <c r="B115" s="18" t="s">
        <v>134</v>
      </c>
      <c r="C115" s="18" t="s">
        <v>193</v>
      </c>
      <c r="D115" s="175" t="s">
        <v>351</v>
      </c>
      <c r="E115" s="176"/>
      <c r="F115" s="18" t="s">
        <v>458</v>
      </c>
      <c r="G115" s="30">
        <v>1</v>
      </c>
      <c r="H115" s="30">
        <v>0</v>
      </c>
      <c r="I115" s="30">
        <f>G115*AO115</f>
        <v>0</v>
      </c>
      <c r="J115" s="30">
        <f>G115*AP115</f>
        <v>0</v>
      </c>
      <c r="K115" s="30">
        <f>G115*H115</f>
        <v>0</v>
      </c>
      <c r="L115" s="30">
        <v>0.0169</v>
      </c>
      <c r="M115" s="30">
        <f>G115*L115</f>
        <v>0.0169</v>
      </c>
      <c r="N115" s="48" t="s">
        <v>484</v>
      </c>
      <c r="O115" s="6"/>
      <c r="Z115" s="51">
        <f>IF(AQ115="5",BJ115,0)</f>
        <v>0</v>
      </c>
      <c r="AB115" s="51">
        <f>IF(AQ115="1",BH115,0)</f>
        <v>0</v>
      </c>
      <c r="AC115" s="51">
        <f>IF(AQ115="1",BI115,0)</f>
        <v>0</v>
      </c>
      <c r="AD115" s="51">
        <f>IF(AQ115="7",BH115,0)</f>
        <v>0</v>
      </c>
      <c r="AE115" s="51">
        <f>IF(AQ115="7",BI115,0)</f>
        <v>0</v>
      </c>
      <c r="AF115" s="51">
        <f>IF(AQ115="2",BH115,0)</f>
        <v>0</v>
      </c>
      <c r="AG115" s="51">
        <f>IF(AQ115="2",BI115,0)</f>
        <v>0</v>
      </c>
      <c r="AH115" s="51">
        <f>IF(AQ115="0",BJ115,0)</f>
        <v>0</v>
      </c>
      <c r="AI115" s="39" t="s">
        <v>134</v>
      </c>
      <c r="AJ115" s="30">
        <f>IF(AN115=0,K115,0)</f>
        <v>0</v>
      </c>
      <c r="AK115" s="30">
        <f>IF(AN115=15,K115,0)</f>
        <v>0</v>
      </c>
      <c r="AL115" s="30">
        <f>IF(AN115=21,K115,0)</f>
        <v>0</v>
      </c>
      <c r="AN115" s="51">
        <v>21</v>
      </c>
      <c r="AO115" s="51">
        <f>H115*1</f>
        <v>0</v>
      </c>
      <c r="AP115" s="51">
        <f>H115*(1-1)</f>
        <v>0</v>
      </c>
      <c r="AQ115" s="53" t="s">
        <v>7</v>
      </c>
      <c r="AV115" s="51">
        <f>AW115+AX115</f>
        <v>0</v>
      </c>
      <c r="AW115" s="51">
        <f>G115*AO115</f>
        <v>0</v>
      </c>
      <c r="AX115" s="51">
        <f>G115*AP115</f>
        <v>0</v>
      </c>
      <c r="AY115" s="54" t="s">
        <v>517</v>
      </c>
      <c r="AZ115" s="54" t="s">
        <v>538</v>
      </c>
      <c r="BA115" s="39" t="s">
        <v>553</v>
      </c>
      <c r="BC115" s="51">
        <f>AW115+AX115</f>
        <v>0</v>
      </c>
      <c r="BD115" s="51">
        <f>H115/(100-BE115)*100</f>
        <v>0</v>
      </c>
      <c r="BE115" s="51">
        <v>0</v>
      </c>
      <c r="BF115" s="51">
        <f>M115</f>
        <v>0.0169</v>
      </c>
      <c r="BH115" s="30">
        <f>G115*AO115</f>
        <v>0</v>
      </c>
      <c r="BI115" s="30">
        <f>G115*AP115</f>
        <v>0</v>
      </c>
      <c r="BJ115" s="30">
        <f>G115*H115</f>
        <v>0</v>
      </c>
      <c r="BK115" s="30" t="s">
        <v>562</v>
      </c>
      <c r="BL115" s="51">
        <v>85</v>
      </c>
    </row>
    <row r="116" spans="1:47" ht="12.75">
      <c r="A116" s="4"/>
      <c r="B116" s="15" t="s">
        <v>134</v>
      </c>
      <c r="C116" s="15" t="s">
        <v>93</v>
      </c>
      <c r="D116" s="166" t="s">
        <v>259</v>
      </c>
      <c r="E116" s="167"/>
      <c r="F116" s="25" t="s">
        <v>6</v>
      </c>
      <c r="G116" s="25" t="s">
        <v>6</v>
      </c>
      <c r="H116" s="25" t="s">
        <v>6</v>
      </c>
      <c r="I116" s="57">
        <f>SUM(I117:I120)</f>
        <v>0</v>
      </c>
      <c r="J116" s="57">
        <f>SUM(J117:J120)</f>
        <v>0</v>
      </c>
      <c r="K116" s="57">
        <f>SUM(K117:K120)</f>
        <v>0</v>
      </c>
      <c r="L116" s="39"/>
      <c r="M116" s="57">
        <f>SUM(M117:M120)</f>
        <v>0.19285999999999998</v>
      </c>
      <c r="N116" s="44"/>
      <c r="O116" s="6"/>
      <c r="AI116" s="39" t="s">
        <v>134</v>
      </c>
      <c r="AS116" s="57">
        <f>SUM(AJ117:AJ120)</f>
        <v>0</v>
      </c>
      <c r="AT116" s="57">
        <f>SUM(AK117:AK120)</f>
        <v>0</v>
      </c>
      <c r="AU116" s="57">
        <f>SUM(AL117:AL120)</f>
        <v>0</v>
      </c>
    </row>
    <row r="117" spans="1:64" ht="12.75">
      <c r="A117" s="5" t="s">
        <v>60</v>
      </c>
      <c r="B117" s="16" t="s">
        <v>134</v>
      </c>
      <c r="C117" s="16" t="s">
        <v>194</v>
      </c>
      <c r="D117" s="161" t="s">
        <v>352</v>
      </c>
      <c r="E117" s="162"/>
      <c r="F117" s="16" t="s">
        <v>461</v>
      </c>
      <c r="G117" s="28">
        <v>180</v>
      </c>
      <c r="H117" s="28">
        <v>0</v>
      </c>
      <c r="I117" s="28">
        <f>G117*AO117</f>
        <v>0</v>
      </c>
      <c r="J117" s="28">
        <f>G117*AP117</f>
        <v>0</v>
      </c>
      <c r="K117" s="28">
        <f>G117*H117</f>
        <v>0</v>
      </c>
      <c r="L117" s="28">
        <v>0</v>
      </c>
      <c r="M117" s="28">
        <f>G117*L117</f>
        <v>0</v>
      </c>
      <c r="N117" s="45" t="s">
        <v>484</v>
      </c>
      <c r="O117" s="6"/>
      <c r="Z117" s="51">
        <f>IF(AQ117="5",BJ117,0)</f>
        <v>0</v>
      </c>
      <c r="AB117" s="51">
        <f>IF(AQ117="1",BH117,0)</f>
        <v>0</v>
      </c>
      <c r="AC117" s="51">
        <f>IF(AQ117="1",BI117,0)</f>
        <v>0</v>
      </c>
      <c r="AD117" s="51">
        <f>IF(AQ117="7",BH117,0)</f>
        <v>0</v>
      </c>
      <c r="AE117" s="51">
        <f>IF(AQ117="7",BI117,0)</f>
        <v>0</v>
      </c>
      <c r="AF117" s="51">
        <f>IF(AQ117="2",BH117,0)</f>
        <v>0</v>
      </c>
      <c r="AG117" s="51">
        <f>IF(AQ117="2",BI117,0)</f>
        <v>0</v>
      </c>
      <c r="AH117" s="51">
        <f>IF(AQ117="0",BJ117,0)</f>
        <v>0</v>
      </c>
      <c r="AI117" s="39" t="s">
        <v>134</v>
      </c>
      <c r="AJ117" s="28">
        <f>IF(AN117=0,K117,0)</f>
        <v>0</v>
      </c>
      <c r="AK117" s="28">
        <f>IF(AN117=15,K117,0)</f>
        <v>0</v>
      </c>
      <c r="AL117" s="28">
        <f>IF(AN117=21,K117,0)</f>
        <v>0</v>
      </c>
      <c r="AN117" s="51">
        <v>21</v>
      </c>
      <c r="AO117" s="51">
        <f>H117*0</f>
        <v>0</v>
      </c>
      <c r="AP117" s="51">
        <f>H117*(1-0)</f>
        <v>0</v>
      </c>
      <c r="AQ117" s="52" t="s">
        <v>7</v>
      </c>
      <c r="AV117" s="51">
        <f>AW117+AX117</f>
        <v>0</v>
      </c>
      <c r="AW117" s="51">
        <f>G117*AO117</f>
        <v>0</v>
      </c>
      <c r="AX117" s="51">
        <f>G117*AP117</f>
        <v>0</v>
      </c>
      <c r="AY117" s="54" t="s">
        <v>500</v>
      </c>
      <c r="AZ117" s="54" t="s">
        <v>538</v>
      </c>
      <c r="BA117" s="39" t="s">
        <v>553</v>
      </c>
      <c r="BC117" s="51">
        <f>AW117+AX117</f>
        <v>0</v>
      </c>
      <c r="BD117" s="51">
        <f>H117/(100-BE117)*100</f>
        <v>0</v>
      </c>
      <c r="BE117" s="51">
        <v>0</v>
      </c>
      <c r="BF117" s="51">
        <f>M117</f>
        <v>0</v>
      </c>
      <c r="BH117" s="28">
        <f>G117*AO117</f>
        <v>0</v>
      </c>
      <c r="BI117" s="28">
        <f>G117*AP117</f>
        <v>0</v>
      </c>
      <c r="BJ117" s="28">
        <f>G117*H117</f>
        <v>0</v>
      </c>
      <c r="BK117" s="28" t="s">
        <v>561</v>
      </c>
      <c r="BL117" s="51">
        <v>87</v>
      </c>
    </row>
    <row r="118" spans="1:64" ht="12.75">
      <c r="A118" s="8" t="s">
        <v>61</v>
      </c>
      <c r="B118" s="18" t="s">
        <v>134</v>
      </c>
      <c r="C118" s="18" t="s">
        <v>195</v>
      </c>
      <c r="D118" s="175" t="s">
        <v>353</v>
      </c>
      <c r="E118" s="176"/>
      <c r="F118" s="18" t="s">
        <v>461</v>
      </c>
      <c r="G118" s="30">
        <v>183.6</v>
      </c>
      <c r="H118" s="30">
        <v>0</v>
      </c>
      <c r="I118" s="30">
        <f>G118*AO118</f>
        <v>0</v>
      </c>
      <c r="J118" s="30">
        <f>G118*AP118</f>
        <v>0</v>
      </c>
      <c r="K118" s="30">
        <f>G118*H118</f>
        <v>0</v>
      </c>
      <c r="L118" s="30">
        <v>0.00105</v>
      </c>
      <c r="M118" s="30">
        <f>G118*L118</f>
        <v>0.19277999999999998</v>
      </c>
      <c r="N118" s="48" t="s">
        <v>484</v>
      </c>
      <c r="O118" s="6"/>
      <c r="Z118" s="51">
        <f>IF(AQ118="5",BJ118,0)</f>
        <v>0</v>
      </c>
      <c r="AB118" s="51">
        <f>IF(AQ118="1",BH118,0)</f>
        <v>0</v>
      </c>
      <c r="AC118" s="51">
        <f>IF(AQ118="1",BI118,0)</f>
        <v>0</v>
      </c>
      <c r="AD118" s="51">
        <f>IF(AQ118="7",BH118,0)</f>
        <v>0</v>
      </c>
      <c r="AE118" s="51">
        <f>IF(AQ118="7",BI118,0)</f>
        <v>0</v>
      </c>
      <c r="AF118" s="51">
        <f>IF(AQ118="2",BH118,0)</f>
        <v>0</v>
      </c>
      <c r="AG118" s="51">
        <f>IF(AQ118="2",BI118,0)</f>
        <v>0</v>
      </c>
      <c r="AH118" s="51">
        <f>IF(AQ118="0",BJ118,0)</f>
        <v>0</v>
      </c>
      <c r="AI118" s="39" t="s">
        <v>134</v>
      </c>
      <c r="AJ118" s="30">
        <f>IF(AN118=0,K118,0)</f>
        <v>0</v>
      </c>
      <c r="AK118" s="30">
        <f>IF(AN118=15,K118,0)</f>
        <v>0</v>
      </c>
      <c r="AL118" s="30">
        <f>IF(AN118=21,K118,0)</f>
        <v>0</v>
      </c>
      <c r="AN118" s="51">
        <v>21</v>
      </c>
      <c r="AO118" s="51">
        <f>H118*1</f>
        <v>0</v>
      </c>
      <c r="AP118" s="51">
        <f>H118*(1-1)</f>
        <v>0</v>
      </c>
      <c r="AQ118" s="53" t="s">
        <v>7</v>
      </c>
      <c r="AV118" s="51">
        <f>AW118+AX118</f>
        <v>0</v>
      </c>
      <c r="AW118" s="51">
        <f>G118*AO118</f>
        <v>0</v>
      </c>
      <c r="AX118" s="51">
        <f>G118*AP118</f>
        <v>0</v>
      </c>
      <c r="AY118" s="54" t="s">
        <v>500</v>
      </c>
      <c r="AZ118" s="54" t="s">
        <v>538</v>
      </c>
      <c r="BA118" s="39" t="s">
        <v>553</v>
      </c>
      <c r="BC118" s="51">
        <f>AW118+AX118</f>
        <v>0</v>
      </c>
      <c r="BD118" s="51">
        <f>H118/(100-BE118)*100</f>
        <v>0</v>
      </c>
      <c r="BE118" s="51">
        <v>0</v>
      </c>
      <c r="BF118" s="51">
        <f>M118</f>
        <v>0.19277999999999998</v>
      </c>
      <c r="BH118" s="30">
        <f>G118*AO118</f>
        <v>0</v>
      </c>
      <c r="BI118" s="30">
        <f>G118*AP118</f>
        <v>0</v>
      </c>
      <c r="BJ118" s="30">
        <f>G118*H118</f>
        <v>0</v>
      </c>
      <c r="BK118" s="30" t="s">
        <v>562</v>
      </c>
      <c r="BL118" s="51">
        <v>87</v>
      </c>
    </row>
    <row r="119" spans="1:15" ht="12.75">
      <c r="A119" s="6"/>
      <c r="D119" s="21" t="s">
        <v>354</v>
      </c>
      <c r="E119" s="22"/>
      <c r="G119" s="29">
        <v>183.6</v>
      </c>
      <c r="N119" s="47"/>
      <c r="O119" s="6"/>
    </row>
    <row r="120" spans="1:64" ht="12.75">
      <c r="A120" s="5" t="s">
        <v>62</v>
      </c>
      <c r="B120" s="16" t="s">
        <v>134</v>
      </c>
      <c r="C120" s="16" t="s">
        <v>196</v>
      </c>
      <c r="D120" s="161" t="s">
        <v>355</v>
      </c>
      <c r="E120" s="162"/>
      <c r="F120" s="16" t="s">
        <v>458</v>
      </c>
      <c r="G120" s="28">
        <v>1</v>
      </c>
      <c r="H120" s="28">
        <v>0</v>
      </c>
      <c r="I120" s="28">
        <f>G120*AO120</f>
        <v>0</v>
      </c>
      <c r="J120" s="28">
        <f>G120*AP120</f>
        <v>0</v>
      </c>
      <c r="K120" s="28">
        <f>G120*H120</f>
        <v>0</v>
      </c>
      <c r="L120" s="28">
        <v>8E-05</v>
      </c>
      <c r="M120" s="28">
        <f>G120*L120</f>
        <v>8E-05</v>
      </c>
      <c r="N120" s="45" t="s">
        <v>484</v>
      </c>
      <c r="O120" s="6"/>
      <c r="Z120" s="51">
        <f>IF(AQ120="5",BJ120,0)</f>
        <v>0</v>
      </c>
      <c r="AB120" s="51">
        <f>IF(AQ120="1",BH120,0)</f>
        <v>0</v>
      </c>
      <c r="AC120" s="51">
        <f>IF(AQ120="1",BI120,0)</f>
        <v>0</v>
      </c>
      <c r="AD120" s="51">
        <f>IF(AQ120="7",BH120,0)</f>
        <v>0</v>
      </c>
      <c r="AE120" s="51">
        <f>IF(AQ120="7",BI120,0)</f>
        <v>0</v>
      </c>
      <c r="AF120" s="51">
        <f>IF(AQ120="2",BH120,0)</f>
        <v>0</v>
      </c>
      <c r="AG120" s="51">
        <f>IF(AQ120="2",BI120,0)</f>
        <v>0</v>
      </c>
      <c r="AH120" s="51">
        <f>IF(AQ120="0",BJ120,0)</f>
        <v>0</v>
      </c>
      <c r="AI120" s="39" t="s">
        <v>134</v>
      </c>
      <c r="AJ120" s="28">
        <f>IF(AN120=0,K120,0)</f>
        <v>0</v>
      </c>
      <c r="AK120" s="28">
        <f>IF(AN120=15,K120,0)</f>
        <v>0</v>
      </c>
      <c r="AL120" s="28">
        <f>IF(AN120=21,K120,0)</f>
        <v>0</v>
      </c>
      <c r="AN120" s="51">
        <v>21</v>
      </c>
      <c r="AO120" s="51">
        <f>H120*0.00853666585993708</f>
        <v>0</v>
      </c>
      <c r="AP120" s="51">
        <f>H120*(1-0.00853666585993708)</f>
        <v>0</v>
      </c>
      <c r="AQ120" s="52" t="s">
        <v>7</v>
      </c>
      <c r="AV120" s="51">
        <f>AW120+AX120</f>
        <v>0</v>
      </c>
      <c r="AW120" s="51">
        <f>G120*AO120</f>
        <v>0</v>
      </c>
      <c r="AX120" s="51">
        <f>G120*AP120</f>
        <v>0</v>
      </c>
      <c r="AY120" s="54" t="s">
        <v>500</v>
      </c>
      <c r="AZ120" s="54" t="s">
        <v>538</v>
      </c>
      <c r="BA120" s="39" t="s">
        <v>553</v>
      </c>
      <c r="BC120" s="51">
        <f>AW120+AX120</f>
        <v>0</v>
      </c>
      <c r="BD120" s="51">
        <f>H120/(100-BE120)*100</f>
        <v>0</v>
      </c>
      <c r="BE120" s="51">
        <v>0</v>
      </c>
      <c r="BF120" s="51">
        <f>M120</f>
        <v>8E-05</v>
      </c>
      <c r="BH120" s="28">
        <f>G120*AO120</f>
        <v>0</v>
      </c>
      <c r="BI120" s="28">
        <f>G120*AP120</f>
        <v>0</v>
      </c>
      <c r="BJ120" s="28">
        <f>G120*H120</f>
        <v>0</v>
      </c>
      <c r="BK120" s="28" t="s">
        <v>561</v>
      </c>
      <c r="BL120" s="51">
        <v>87</v>
      </c>
    </row>
    <row r="121" spans="1:47" ht="12.75">
      <c r="A121" s="4"/>
      <c r="B121" s="15" t="s">
        <v>134</v>
      </c>
      <c r="C121" s="15" t="s">
        <v>95</v>
      </c>
      <c r="D121" s="166" t="s">
        <v>356</v>
      </c>
      <c r="E121" s="167"/>
      <c r="F121" s="25" t="s">
        <v>6</v>
      </c>
      <c r="G121" s="25" t="s">
        <v>6</v>
      </c>
      <c r="H121" s="25" t="s">
        <v>6</v>
      </c>
      <c r="I121" s="57">
        <f>SUM(I122:I141)</f>
        <v>0</v>
      </c>
      <c r="J121" s="57">
        <f>SUM(J122:J141)</f>
        <v>0</v>
      </c>
      <c r="K121" s="57">
        <f>SUM(K122:K141)</f>
        <v>0</v>
      </c>
      <c r="L121" s="39"/>
      <c r="M121" s="57">
        <f>SUM(M122:M141)</f>
        <v>2.6939100000000002</v>
      </c>
      <c r="N121" s="44"/>
      <c r="O121" s="6"/>
      <c r="AI121" s="39" t="s">
        <v>134</v>
      </c>
      <c r="AS121" s="57">
        <f>SUM(AJ122:AJ141)</f>
        <v>0</v>
      </c>
      <c r="AT121" s="57">
        <f>SUM(AK122:AK141)</f>
        <v>0</v>
      </c>
      <c r="AU121" s="57">
        <f>SUM(AL122:AL141)</f>
        <v>0</v>
      </c>
    </row>
    <row r="122" spans="1:64" ht="12.75">
      <c r="A122" s="5" t="s">
        <v>63</v>
      </c>
      <c r="B122" s="16" t="s">
        <v>134</v>
      </c>
      <c r="C122" s="16" t="s">
        <v>197</v>
      </c>
      <c r="D122" s="161" t="s">
        <v>357</v>
      </c>
      <c r="E122" s="162"/>
      <c r="F122" s="16" t="s">
        <v>458</v>
      </c>
      <c r="G122" s="28">
        <v>1</v>
      </c>
      <c r="H122" s="28">
        <v>0</v>
      </c>
      <c r="I122" s="28">
        <f aca="true" t="shared" si="0" ref="I122:I135">G122*AO122</f>
        <v>0</v>
      </c>
      <c r="J122" s="28">
        <f aca="true" t="shared" si="1" ref="J122:J135">G122*AP122</f>
        <v>0</v>
      </c>
      <c r="K122" s="28">
        <f aca="true" t="shared" si="2" ref="K122:K135">G122*H122</f>
        <v>0</v>
      </c>
      <c r="L122" s="28">
        <v>2E-05</v>
      </c>
      <c r="M122" s="28">
        <f aca="true" t="shared" si="3" ref="M122:M135">G122*L122</f>
        <v>2E-05</v>
      </c>
      <c r="N122" s="45" t="s">
        <v>484</v>
      </c>
      <c r="O122" s="6"/>
      <c r="Z122" s="51">
        <f aca="true" t="shared" si="4" ref="Z122:Z135">IF(AQ122="5",BJ122,0)</f>
        <v>0</v>
      </c>
      <c r="AB122" s="51">
        <f aca="true" t="shared" si="5" ref="AB122:AB135">IF(AQ122="1",BH122,0)</f>
        <v>0</v>
      </c>
      <c r="AC122" s="51">
        <f aca="true" t="shared" si="6" ref="AC122:AC135">IF(AQ122="1",BI122,0)</f>
        <v>0</v>
      </c>
      <c r="AD122" s="51">
        <f aca="true" t="shared" si="7" ref="AD122:AD135">IF(AQ122="7",BH122,0)</f>
        <v>0</v>
      </c>
      <c r="AE122" s="51">
        <f aca="true" t="shared" si="8" ref="AE122:AE135">IF(AQ122="7",BI122,0)</f>
        <v>0</v>
      </c>
      <c r="AF122" s="51">
        <f aca="true" t="shared" si="9" ref="AF122:AF135">IF(AQ122="2",BH122,0)</f>
        <v>0</v>
      </c>
      <c r="AG122" s="51">
        <f aca="true" t="shared" si="10" ref="AG122:AG135">IF(AQ122="2",BI122,0)</f>
        <v>0</v>
      </c>
      <c r="AH122" s="51">
        <f aca="true" t="shared" si="11" ref="AH122:AH135">IF(AQ122="0",BJ122,0)</f>
        <v>0</v>
      </c>
      <c r="AI122" s="39" t="s">
        <v>134</v>
      </c>
      <c r="AJ122" s="28">
        <f aca="true" t="shared" si="12" ref="AJ122:AJ135">IF(AN122=0,K122,0)</f>
        <v>0</v>
      </c>
      <c r="AK122" s="28">
        <f aca="true" t="shared" si="13" ref="AK122:AK135">IF(AN122=15,K122,0)</f>
        <v>0</v>
      </c>
      <c r="AL122" s="28">
        <f aca="true" t="shared" si="14" ref="AL122:AL135">IF(AN122=21,K122,0)</f>
        <v>0</v>
      </c>
      <c r="AN122" s="51">
        <v>21</v>
      </c>
      <c r="AO122" s="51">
        <f>H122*0.0117165583022542</f>
        <v>0</v>
      </c>
      <c r="AP122" s="51">
        <f>H122*(1-0.0117165583022542)</f>
        <v>0</v>
      </c>
      <c r="AQ122" s="52" t="s">
        <v>7</v>
      </c>
      <c r="AV122" s="51">
        <f aca="true" t="shared" si="15" ref="AV122:AV135">AW122+AX122</f>
        <v>0</v>
      </c>
      <c r="AW122" s="51">
        <f aca="true" t="shared" si="16" ref="AW122:AW135">G122*AO122</f>
        <v>0</v>
      </c>
      <c r="AX122" s="51">
        <f aca="true" t="shared" si="17" ref="AX122:AX135">G122*AP122</f>
        <v>0</v>
      </c>
      <c r="AY122" s="54" t="s">
        <v>518</v>
      </c>
      <c r="AZ122" s="54" t="s">
        <v>538</v>
      </c>
      <c r="BA122" s="39" t="s">
        <v>553</v>
      </c>
      <c r="BC122" s="51">
        <f aca="true" t="shared" si="18" ref="BC122:BC135">AW122+AX122</f>
        <v>0</v>
      </c>
      <c r="BD122" s="51">
        <f aca="true" t="shared" si="19" ref="BD122:BD135">H122/(100-BE122)*100</f>
        <v>0</v>
      </c>
      <c r="BE122" s="51">
        <v>0</v>
      </c>
      <c r="BF122" s="51">
        <f aca="true" t="shared" si="20" ref="BF122:BF135">M122</f>
        <v>2E-05</v>
      </c>
      <c r="BH122" s="28">
        <f aca="true" t="shared" si="21" ref="BH122:BH135">G122*AO122</f>
        <v>0</v>
      </c>
      <c r="BI122" s="28">
        <f aca="true" t="shared" si="22" ref="BI122:BI135">G122*AP122</f>
        <v>0</v>
      </c>
      <c r="BJ122" s="28">
        <f aca="true" t="shared" si="23" ref="BJ122:BJ135">G122*H122</f>
        <v>0</v>
      </c>
      <c r="BK122" s="28" t="s">
        <v>561</v>
      </c>
      <c r="BL122" s="51">
        <v>89</v>
      </c>
    </row>
    <row r="123" spans="1:64" ht="12.75">
      <c r="A123" s="8" t="s">
        <v>64</v>
      </c>
      <c r="B123" s="18" t="s">
        <v>134</v>
      </c>
      <c r="C123" s="18" t="s">
        <v>198</v>
      </c>
      <c r="D123" s="175" t="s">
        <v>358</v>
      </c>
      <c r="E123" s="176"/>
      <c r="F123" s="18" t="s">
        <v>458</v>
      </c>
      <c r="G123" s="30">
        <v>1</v>
      </c>
      <c r="H123" s="30">
        <v>0</v>
      </c>
      <c r="I123" s="30">
        <f t="shared" si="0"/>
        <v>0</v>
      </c>
      <c r="J123" s="30">
        <f t="shared" si="1"/>
        <v>0</v>
      </c>
      <c r="K123" s="30">
        <f t="shared" si="2"/>
        <v>0</v>
      </c>
      <c r="L123" s="30">
        <v>0.004</v>
      </c>
      <c r="M123" s="30">
        <f t="shared" si="3"/>
        <v>0.004</v>
      </c>
      <c r="N123" s="48" t="s">
        <v>484</v>
      </c>
      <c r="O123" s="6"/>
      <c r="Z123" s="51">
        <f t="shared" si="4"/>
        <v>0</v>
      </c>
      <c r="AB123" s="51">
        <f t="shared" si="5"/>
        <v>0</v>
      </c>
      <c r="AC123" s="51">
        <f t="shared" si="6"/>
        <v>0</v>
      </c>
      <c r="AD123" s="51">
        <f t="shared" si="7"/>
        <v>0</v>
      </c>
      <c r="AE123" s="51">
        <f t="shared" si="8"/>
        <v>0</v>
      </c>
      <c r="AF123" s="51">
        <f t="shared" si="9"/>
        <v>0</v>
      </c>
      <c r="AG123" s="51">
        <f t="shared" si="10"/>
        <v>0</v>
      </c>
      <c r="AH123" s="51">
        <f t="shared" si="11"/>
        <v>0</v>
      </c>
      <c r="AI123" s="39" t="s">
        <v>134</v>
      </c>
      <c r="AJ123" s="30">
        <f t="shared" si="12"/>
        <v>0</v>
      </c>
      <c r="AK123" s="30">
        <f t="shared" si="13"/>
        <v>0</v>
      </c>
      <c r="AL123" s="30">
        <f t="shared" si="14"/>
        <v>0</v>
      </c>
      <c r="AN123" s="51">
        <v>21</v>
      </c>
      <c r="AO123" s="51">
        <f>H123*1</f>
        <v>0</v>
      </c>
      <c r="AP123" s="51">
        <f>H123*(1-1)</f>
        <v>0</v>
      </c>
      <c r="AQ123" s="53" t="s">
        <v>7</v>
      </c>
      <c r="AV123" s="51">
        <f t="shared" si="15"/>
        <v>0</v>
      </c>
      <c r="AW123" s="51">
        <f t="shared" si="16"/>
        <v>0</v>
      </c>
      <c r="AX123" s="51">
        <f t="shared" si="17"/>
        <v>0</v>
      </c>
      <c r="AY123" s="54" t="s">
        <v>518</v>
      </c>
      <c r="AZ123" s="54" t="s">
        <v>538</v>
      </c>
      <c r="BA123" s="39" t="s">
        <v>553</v>
      </c>
      <c r="BC123" s="51">
        <f t="shared" si="18"/>
        <v>0</v>
      </c>
      <c r="BD123" s="51">
        <f t="shared" si="19"/>
        <v>0</v>
      </c>
      <c r="BE123" s="51">
        <v>0</v>
      </c>
      <c r="BF123" s="51">
        <f t="shared" si="20"/>
        <v>0.004</v>
      </c>
      <c r="BH123" s="30">
        <f t="shared" si="21"/>
        <v>0</v>
      </c>
      <c r="BI123" s="30">
        <f t="shared" si="22"/>
        <v>0</v>
      </c>
      <c r="BJ123" s="30">
        <f t="shared" si="23"/>
        <v>0</v>
      </c>
      <c r="BK123" s="30" t="s">
        <v>562</v>
      </c>
      <c r="BL123" s="51">
        <v>89</v>
      </c>
    </row>
    <row r="124" spans="1:64" ht="12.75">
      <c r="A124" s="5" t="s">
        <v>65</v>
      </c>
      <c r="B124" s="16" t="s">
        <v>134</v>
      </c>
      <c r="C124" s="16" t="s">
        <v>199</v>
      </c>
      <c r="D124" s="161" t="s">
        <v>359</v>
      </c>
      <c r="E124" s="162"/>
      <c r="F124" s="16" t="s">
        <v>458</v>
      </c>
      <c r="G124" s="28">
        <v>1</v>
      </c>
      <c r="H124" s="28">
        <v>0</v>
      </c>
      <c r="I124" s="28">
        <f t="shared" si="0"/>
        <v>0</v>
      </c>
      <c r="J124" s="28">
        <f t="shared" si="1"/>
        <v>0</v>
      </c>
      <c r="K124" s="28">
        <f t="shared" si="2"/>
        <v>0</v>
      </c>
      <c r="L124" s="28">
        <v>0.00041</v>
      </c>
      <c r="M124" s="28">
        <f t="shared" si="3"/>
        <v>0.00041</v>
      </c>
      <c r="N124" s="45" t="s">
        <v>484</v>
      </c>
      <c r="O124" s="6"/>
      <c r="Z124" s="51">
        <f t="shared" si="4"/>
        <v>0</v>
      </c>
      <c r="AB124" s="51">
        <f t="shared" si="5"/>
        <v>0</v>
      </c>
      <c r="AC124" s="51">
        <f t="shared" si="6"/>
        <v>0</v>
      </c>
      <c r="AD124" s="51">
        <f t="shared" si="7"/>
        <v>0</v>
      </c>
      <c r="AE124" s="51">
        <f t="shared" si="8"/>
        <v>0</v>
      </c>
      <c r="AF124" s="51">
        <f t="shared" si="9"/>
        <v>0</v>
      </c>
      <c r="AG124" s="51">
        <f t="shared" si="10"/>
        <v>0</v>
      </c>
      <c r="AH124" s="51">
        <f t="shared" si="11"/>
        <v>0</v>
      </c>
      <c r="AI124" s="39" t="s">
        <v>134</v>
      </c>
      <c r="AJ124" s="28">
        <f t="shared" si="12"/>
        <v>0</v>
      </c>
      <c r="AK124" s="28">
        <f t="shared" si="13"/>
        <v>0</v>
      </c>
      <c r="AL124" s="28">
        <f t="shared" si="14"/>
        <v>0</v>
      </c>
      <c r="AN124" s="51">
        <v>21</v>
      </c>
      <c r="AO124" s="51">
        <f>H124*0.155582255083179</f>
        <v>0</v>
      </c>
      <c r="AP124" s="51">
        <f>H124*(1-0.155582255083179)</f>
        <v>0</v>
      </c>
      <c r="AQ124" s="52" t="s">
        <v>7</v>
      </c>
      <c r="AV124" s="51">
        <f t="shared" si="15"/>
        <v>0</v>
      </c>
      <c r="AW124" s="51">
        <f t="shared" si="16"/>
        <v>0</v>
      </c>
      <c r="AX124" s="51">
        <f t="shared" si="17"/>
        <v>0</v>
      </c>
      <c r="AY124" s="54" t="s">
        <v>518</v>
      </c>
      <c r="AZ124" s="54" t="s">
        <v>538</v>
      </c>
      <c r="BA124" s="39" t="s">
        <v>553</v>
      </c>
      <c r="BC124" s="51">
        <f t="shared" si="18"/>
        <v>0</v>
      </c>
      <c r="BD124" s="51">
        <f t="shared" si="19"/>
        <v>0</v>
      </c>
      <c r="BE124" s="51">
        <v>0</v>
      </c>
      <c r="BF124" s="51">
        <f t="shared" si="20"/>
        <v>0.00041</v>
      </c>
      <c r="BH124" s="28">
        <f t="shared" si="21"/>
        <v>0</v>
      </c>
      <c r="BI124" s="28">
        <f t="shared" si="22"/>
        <v>0</v>
      </c>
      <c r="BJ124" s="28">
        <f t="shared" si="23"/>
        <v>0</v>
      </c>
      <c r="BK124" s="28" t="s">
        <v>561</v>
      </c>
      <c r="BL124" s="51">
        <v>89</v>
      </c>
    </row>
    <row r="125" spans="1:64" ht="12.75">
      <c r="A125" s="8" t="s">
        <v>66</v>
      </c>
      <c r="B125" s="18" t="s">
        <v>134</v>
      </c>
      <c r="C125" s="18" t="s">
        <v>200</v>
      </c>
      <c r="D125" s="175" t="s">
        <v>360</v>
      </c>
      <c r="E125" s="176"/>
      <c r="F125" s="18" t="s">
        <v>458</v>
      </c>
      <c r="G125" s="30">
        <v>1</v>
      </c>
      <c r="H125" s="30">
        <v>0</v>
      </c>
      <c r="I125" s="30">
        <f t="shared" si="0"/>
        <v>0</v>
      </c>
      <c r="J125" s="30">
        <f t="shared" si="1"/>
        <v>0</v>
      </c>
      <c r="K125" s="30">
        <f t="shared" si="2"/>
        <v>0</v>
      </c>
      <c r="L125" s="30">
        <v>0.0245</v>
      </c>
      <c r="M125" s="30">
        <f t="shared" si="3"/>
        <v>0.0245</v>
      </c>
      <c r="N125" s="48" t="s">
        <v>484</v>
      </c>
      <c r="O125" s="6"/>
      <c r="Z125" s="51">
        <f t="shared" si="4"/>
        <v>0</v>
      </c>
      <c r="AB125" s="51">
        <f t="shared" si="5"/>
        <v>0</v>
      </c>
      <c r="AC125" s="51">
        <f t="shared" si="6"/>
        <v>0</v>
      </c>
      <c r="AD125" s="51">
        <f t="shared" si="7"/>
        <v>0</v>
      </c>
      <c r="AE125" s="51">
        <f t="shared" si="8"/>
        <v>0</v>
      </c>
      <c r="AF125" s="51">
        <f t="shared" si="9"/>
        <v>0</v>
      </c>
      <c r="AG125" s="51">
        <f t="shared" si="10"/>
        <v>0</v>
      </c>
      <c r="AH125" s="51">
        <f t="shared" si="11"/>
        <v>0</v>
      </c>
      <c r="AI125" s="39" t="s">
        <v>134</v>
      </c>
      <c r="AJ125" s="30">
        <f t="shared" si="12"/>
        <v>0</v>
      </c>
      <c r="AK125" s="30">
        <f t="shared" si="13"/>
        <v>0</v>
      </c>
      <c r="AL125" s="30">
        <f t="shared" si="14"/>
        <v>0</v>
      </c>
      <c r="AN125" s="51">
        <v>21</v>
      </c>
      <c r="AO125" s="51">
        <f>H125*1</f>
        <v>0</v>
      </c>
      <c r="AP125" s="51">
        <f>H125*(1-1)</f>
        <v>0</v>
      </c>
      <c r="AQ125" s="53" t="s">
        <v>7</v>
      </c>
      <c r="AV125" s="51">
        <f t="shared" si="15"/>
        <v>0</v>
      </c>
      <c r="AW125" s="51">
        <f t="shared" si="16"/>
        <v>0</v>
      </c>
      <c r="AX125" s="51">
        <f t="shared" si="17"/>
        <v>0</v>
      </c>
      <c r="AY125" s="54" t="s">
        <v>518</v>
      </c>
      <c r="AZ125" s="54" t="s">
        <v>538</v>
      </c>
      <c r="BA125" s="39" t="s">
        <v>553</v>
      </c>
      <c r="BC125" s="51">
        <f t="shared" si="18"/>
        <v>0</v>
      </c>
      <c r="BD125" s="51">
        <f t="shared" si="19"/>
        <v>0</v>
      </c>
      <c r="BE125" s="51">
        <v>0</v>
      </c>
      <c r="BF125" s="51">
        <f t="shared" si="20"/>
        <v>0.0245</v>
      </c>
      <c r="BH125" s="30">
        <f t="shared" si="21"/>
        <v>0</v>
      </c>
      <c r="BI125" s="30">
        <f t="shared" si="22"/>
        <v>0</v>
      </c>
      <c r="BJ125" s="30">
        <f t="shared" si="23"/>
        <v>0</v>
      </c>
      <c r="BK125" s="30" t="s">
        <v>562</v>
      </c>
      <c r="BL125" s="51">
        <v>89</v>
      </c>
    </row>
    <row r="126" spans="1:64" ht="12.75">
      <c r="A126" s="8" t="s">
        <v>67</v>
      </c>
      <c r="B126" s="18" t="s">
        <v>134</v>
      </c>
      <c r="C126" s="18" t="s">
        <v>201</v>
      </c>
      <c r="D126" s="175" t="s">
        <v>361</v>
      </c>
      <c r="E126" s="176"/>
      <c r="F126" s="18" t="s">
        <v>458</v>
      </c>
      <c r="G126" s="30">
        <v>2</v>
      </c>
      <c r="H126" s="30">
        <v>0</v>
      </c>
      <c r="I126" s="30">
        <f t="shared" si="0"/>
        <v>0</v>
      </c>
      <c r="J126" s="30">
        <f t="shared" si="1"/>
        <v>0</v>
      </c>
      <c r="K126" s="30">
        <f t="shared" si="2"/>
        <v>0</v>
      </c>
      <c r="L126" s="30">
        <v>0.0053</v>
      </c>
      <c r="M126" s="30">
        <f t="shared" si="3"/>
        <v>0.0106</v>
      </c>
      <c r="N126" s="48" t="s">
        <v>484</v>
      </c>
      <c r="O126" s="6"/>
      <c r="Z126" s="51">
        <f t="shared" si="4"/>
        <v>0</v>
      </c>
      <c r="AB126" s="51">
        <f t="shared" si="5"/>
        <v>0</v>
      </c>
      <c r="AC126" s="51">
        <f t="shared" si="6"/>
        <v>0</v>
      </c>
      <c r="AD126" s="51">
        <f t="shared" si="7"/>
        <v>0</v>
      </c>
      <c r="AE126" s="51">
        <f t="shared" si="8"/>
        <v>0</v>
      </c>
      <c r="AF126" s="51">
        <f t="shared" si="9"/>
        <v>0</v>
      </c>
      <c r="AG126" s="51">
        <f t="shared" si="10"/>
        <v>0</v>
      </c>
      <c r="AH126" s="51">
        <f t="shared" si="11"/>
        <v>0</v>
      </c>
      <c r="AI126" s="39" t="s">
        <v>134</v>
      </c>
      <c r="AJ126" s="30">
        <f t="shared" si="12"/>
        <v>0</v>
      </c>
      <c r="AK126" s="30">
        <f t="shared" si="13"/>
        <v>0</v>
      </c>
      <c r="AL126" s="30">
        <f t="shared" si="14"/>
        <v>0</v>
      </c>
      <c r="AN126" s="51">
        <v>21</v>
      </c>
      <c r="AO126" s="51">
        <f>H126*1</f>
        <v>0</v>
      </c>
      <c r="AP126" s="51">
        <f>H126*(1-1)</f>
        <v>0</v>
      </c>
      <c r="AQ126" s="53" t="s">
        <v>7</v>
      </c>
      <c r="AV126" s="51">
        <f t="shared" si="15"/>
        <v>0</v>
      </c>
      <c r="AW126" s="51">
        <f t="shared" si="16"/>
        <v>0</v>
      </c>
      <c r="AX126" s="51">
        <f t="shared" si="17"/>
        <v>0</v>
      </c>
      <c r="AY126" s="54" t="s">
        <v>518</v>
      </c>
      <c r="AZ126" s="54" t="s">
        <v>538</v>
      </c>
      <c r="BA126" s="39" t="s">
        <v>553</v>
      </c>
      <c r="BC126" s="51">
        <f t="shared" si="18"/>
        <v>0</v>
      </c>
      <c r="BD126" s="51">
        <f t="shared" si="19"/>
        <v>0</v>
      </c>
      <c r="BE126" s="51">
        <v>0</v>
      </c>
      <c r="BF126" s="51">
        <f t="shared" si="20"/>
        <v>0.0106</v>
      </c>
      <c r="BH126" s="30">
        <f t="shared" si="21"/>
        <v>0</v>
      </c>
      <c r="BI126" s="30">
        <f t="shared" si="22"/>
        <v>0</v>
      </c>
      <c r="BJ126" s="30">
        <f t="shared" si="23"/>
        <v>0</v>
      </c>
      <c r="BK126" s="30" t="s">
        <v>562</v>
      </c>
      <c r="BL126" s="51">
        <v>89</v>
      </c>
    </row>
    <row r="127" spans="1:64" ht="12.75">
      <c r="A127" s="5" t="s">
        <v>68</v>
      </c>
      <c r="B127" s="16" t="s">
        <v>134</v>
      </c>
      <c r="C127" s="16" t="s">
        <v>202</v>
      </c>
      <c r="D127" s="161" t="s">
        <v>362</v>
      </c>
      <c r="E127" s="162"/>
      <c r="F127" s="16" t="s">
        <v>458</v>
      </c>
      <c r="G127" s="28">
        <v>1</v>
      </c>
      <c r="H127" s="28">
        <v>0</v>
      </c>
      <c r="I127" s="28">
        <f t="shared" si="0"/>
        <v>0</v>
      </c>
      <c r="J127" s="28">
        <f t="shared" si="1"/>
        <v>0</v>
      </c>
      <c r="K127" s="28">
        <f t="shared" si="2"/>
        <v>0</v>
      </c>
      <c r="L127" s="28">
        <v>0.00278</v>
      </c>
      <c r="M127" s="28">
        <f t="shared" si="3"/>
        <v>0.00278</v>
      </c>
      <c r="N127" s="45" t="s">
        <v>484</v>
      </c>
      <c r="O127" s="6"/>
      <c r="Z127" s="51">
        <f t="shared" si="4"/>
        <v>0</v>
      </c>
      <c r="AB127" s="51">
        <f t="shared" si="5"/>
        <v>0</v>
      </c>
      <c r="AC127" s="51">
        <f t="shared" si="6"/>
        <v>0</v>
      </c>
      <c r="AD127" s="51">
        <f t="shared" si="7"/>
        <v>0</v>
      </c>
      <c r="AE127" s="51">
        <f t="shared" si="8"/>
        <v>0</v>
      </c>
      <c r="AF127" s="51">
        <f t="shared" si="9"/>
        <v>0</v>
      </c>
      <c r="AG127" s="51">
        <f t="shared" si="10"/>
        <v>0</v>
      </c>
      <c r="AH127" s="51">
        <f t="shared" si="11"/>
        <v>0</v>
      </c>
      <c r="AI127" s="39" t="s">
        <v>134</v>
      </c>
      <c r="AJ127" s="28">
        <f t="shared" si="12"/>
        <v>0</v>
      </c>
      <c r="AK127" s="28">
        <f t="shared" si="13"/>
        <v>0</v>
      </c>
      <c r="AL127" s="28">
        <f t="shared" si="14"/>
        <v>0</v>
      </c>
      <c r="AN127" s="51">
        <v>21</v>
      </c>
      <c r="AO127" s="51">
        <f>H127*0.103930481283422</f>
        <v>0</v>
      </c>
      <c r="AP127" s="51">
        <f>H127*(1-0.103930481283422)</f>
        <v>0</v>
      </c>
      <c r="AQ127" s="52" t="s">
        <v>7</v>
      </c>
      <c r="AV127" s="51">
        <f t="shared" si="15"/>
        <v>0</v>
      </c>
      <c r="AW127" s="51">
        <f t="shared" si="16"/>
        <v>0</v>
      </c>
      <c r="AX127" s="51">
        <f t="shared" si="17"/>
        <v>0</v>
      </c>
      <c r="AY127" s="54" t="s">
        <v>518</v>
      </c>
      <c r="AZ127" s="54" t="s">
        <v>538</v>
      </c>
      <c r="BA127" s="39" t="s">
        <v>553</v>
      </c>
      <c r="BC127" s="51">
        <f t="shared" si="18"/>
        <v>0</v>
      </c>
      <c r="BD127" s="51">
        <f t="shared" si="19"/>
        <v>0</v>
      </c>
      <c r="BE127" s="51">
        <v>0</v>
      </c>
      <c r="BF127" s="51">
        <f t="shared" si="20"/>
        <v>0.00278</v>
      </c>
      <c r="BH127" s="28">
        <f t="shared" si="21"/>
        <v>0</v>
      </c>
      <c r="BI127" s="28">
        <f t="shared" si="22"/>
        <v>0</v>
      </c>
      <c r="BJ127" s="28">
        <f t="shared" si="23"/>
        <v>0</v>
      </c>
      <c r="BK127" s="28" t="s">
        <v>561</v>
      </c>
      <c r="BL127" s="51">
        <v>89</v>
      </c>
    </row>
    <row r="128" spans="1:64" ht="12.75">
      <c r="A128" s="8" t="s">
        <v>69</v>
      </c>
      <c r="B128" s="18" t="s">
        <v>134</v>
      </c>
      <c r="C128" s="18" t="s">
        <v>203</v>
      </c>
      <c r="D128" s="175" t="s">
        <v>363</v>
      </c>
      <c r="E128" s="176"/>
      <c r="F128" s="18" t="s">
        <v>458</v>
      </c>
      <c r="G128" s="30">
        <v>1</v>
      </c>
      <c r="H128" s="30">
        <v>0</v>
      </c>
      <c r="I128" s="30">
        <f t="shared" si="0"/>
        <v>0</v>
      </c>
      <c r="J128" s="30">
        <f t="shared" si="1"/>
        <v>0</v>
      </c>
      <c r="K128" s="30">
        <f t="shared" si="2"/>
        <v>0</v>
      </c>
      <c r="L128" s="30">
        <v>0.072</v>
      </c>
      <c r="M128" s="30">
        <f t="shared" si="3"/>
        <v>0.072</v>
      </c>
      <c r="N128" s="48" t="s">
        <v>484</v>
      </c>
      <c r="O128" s="6"/>
      <c r="Z128" s="51">
        <f t="shared" si="4"/>
        <v>0</v>
      </c>
      <c r="AB128" s="51">
        <f t="shared" si="5"/>
        <v>0</v>
      </c>
      <c r="AC128" s="51">
        <f t="shared" si="6"/>
        <v>0</v>
      </c>
      <c r="AD128" s="51">
        <f t="shared" si="7"/>
        <v>0</v>
      </c>
      <c r="AE128" s="51">
        <f t="shared" si="8"/>
        <v>0</v>
      </c>
      <c r="AF128" s="51">
        <f t="shared" si="9"/>
        <v>0</v>
      </c>
      <c r="AG128" s="51">
        <f t="shared" si="10"/>
        <v>0</v>
      </c>
      <c r="AH128" s="51">
        <f t="shared" si="11"/>
        <v>0</v>
      </c>
      <c r="AI128" s="39" t="s">
        <v>134</v>
      </c>
      <c r="AJ128" s="30">
        <f t="shared" si="12"/>
        <v>0</v>
      </c>
      <c r="AK128" s="30">
        <f t="shared" si="13"/>
        <v>0</v>
      </c>
      <c r="AL128" s="30">
        <f t="shared" si="14"/>
        <v>0</v>
      </c>
      <c r="AN128" s="51">
        <v>21</v>
      </c>
      <c r="AO128" s="51">
        <f>H128*1</f>
        <v>0</v>
      </c>
      <c r="AP128" s="51">
        <f>H128*(1-1)</f>
        <v>0</v>
      </c>
      <c r="AQ128" s="53" t="s">
        <v>7</v>
      </c>
      <c r="AV128" s="51">
        <f t="shared" si="15"/>
        <v>0</v>
      </c>
      <c r="AW128" s="51">
        <f t="shared" si="16"/>
        <v>0</v>
      </c>
      <c r="AX128" s="51">
        <f t="shared" si="17"/>
        <v>0</v>
      </c>
      <c r="AY128" s="54" t="s">
        <v>518</v>
      </c>
      <c r="AZ128" s="54" t="s">
        <v>538</v>
      </c>
      <c r="BA128" s="39" t="s">
        <v>553</v>
      </c>
      <c r="BC128" s="51">
        <f t="shared" si="18"/>
        <v>0</v>
      </c>
      <c r="BD128" s="51">
        <f t="shared" si="19"/>
        <v>0</v>
      </c>
      <c r="BE128" s="51">
        <v>0</v>
      </c>
      <c r="BF128" s="51">
        <f t="shared" si="20"/>
        <v>0.072</v>
      </c>
      <c r="BH128" s="30">
        <f t="shared" si="21"/>
        <v>0</v>
      </c>
      <c r="BI128" s="30">
        <f t="shared" si="22"/>
        <v>0</v>
      </c>
      <c r="BJ128" s="30">
        <f t="shared" si="23"/>
        <v>0</v>
      </c>
      <c r="BK128" s="30" t="s">
        <v>562</v>
      </c>
      <c r="BL128" s="51">
        <v>89</v>
      </c>
    </row>
    <row r="129" spans="1:64" ht="12.75">
      <c r="A129" s="5" t="s">
        <v>70</v>
      </c>
      <c r="B129" s="16" t="s">
        <v>134</v>
      </c>
      <c r="C129" s="16" t="s">
        <v>204</v>
      </c>
      <c r="D129" s="161" t="s">
        <v>364</v>
      </c>
      <c r="E129" s="162"/>
      <c r="F129" s="16" t="s">
        <v>458</v>
      </c>
      <c r="G129" s="28">
        <v>1</v>
      </c>
      <c r="H129" s="28">
        <v>0</v>
      </c>
      <c r="I129" s="28">
        <f t="shared" si="0"/>
        <v>0</v>
      </c>
      <c r="J129" s="28">
        <f t="shared" si="1"/>
        <v>0</v>
      </c>
      <c r="K129" s="28">
        <f t="shared" si="2"/>
        <v>0</v>
      </c>
      <c r="L129" s="28">
        <v>0</v>
      </c>
      <c r="M129" s="28">
        <f t="shared" si="3"/>
        <v>0</v>
      </c>
      <c r="N129" s="45" t="s">
        <v>484</v>
      </c>
      <c r="O129" s="6"/>
      <c r="Z129" s="51">
        <f t="shared" si="4"/>
        <v>0</v>
      </c>
      <c r="AB129" s="51">
        <f t="shared" si="5"/>
        <v>0</v>
      </c>
      <c r="AC129" s="51">
        <f t="shared" si="6"/>
        <v>0</v>
      </c>
      <c r="AD129" s="51">
        <f t="shared" si="7"/>
        <v>0</v>
      </c>
      <c r="AE129" s="51">
        <f t="shared" si="8"/>
        <v>0</v>
      </c>
      <c r="AF129" s="51">
        <f t="shared" si="9"/>
        <v>0</v>
      </c>
      <c r="AG129" s="51">
        <f t="shared" si="10"/>
        <v>0</v>
      </c>
      <c r="AH129" s="51">
        <f t="shared" si="11"/>
        <v>0</v>
      </c>
      <c r="AI129" s="39" t="s">
        <v>134</v>
      </c>
      <c r="AJ129" s="28">
        <f t="shared" si="12"/>
        <v>0</v>
      </c>
      <c r="AK129" s="28">
        <f t="shared" si="13"/>
        <v>0</v>
      </c>
      <c r="AL129" s="28">
        <f t="shared" si="14"/>
        <v>0</v>
      </c>
      <c r="AN129" s="51">
        <v>21</v>
      </c>
      <c r="AO129" s="51">
        <f>H129*0</f>
        <v>0</v>
      </c>
      <c r="AP129" s="51">
        <f>H129*(1-0)</f>
        <v>0</v>
      </c>
      <c r="AQ129" s="52" t="s">
        <v>7</v>
      </c>
      <c r="AV129" s="51">
        <f t="shared" si="15"/>
        <v>0</v>
      </c>
      <c r="AW129" s="51">
        <f t="shared" si="16"/>
        <v>0</v>
      </c>
      <c r="AX129" s="51">
        <f t="shared" si="17"/>
        <v>0</v>
      </c>
      <c r="AY129" s="54" t="s">
        <v>518</v>
      </c>
      <c r="AZ129" s="54" t="s">
        <v>538</v>
      </c>
      <c r="BA129" s="39" t="s">
        <v>553</v>
      </c>
      <c r="BC129" s="51">
        <f t="shared" si="18"/>
        <v>0</v>
      </c>
      <c r="BD129" s="51">
        <f t="shared" si="19"/>
        <v>0</v>
      </c>
      <c r="BE129" s="51">
        <v>0</v>
      </c>
      <c r="BF129" s="51">
        <f t="shared" si="20"/>
        <v>0</v>
      </c>
      <c r="BH129" s="28">
        <f t="shared" si="21"/>
        <v>0</v>
      </c>
      <c r="BI129" s="28">
        <f t="shared" si="22"/>
        <v>0</v>
      </c>
      <c r="BJ129" s="28">
        <f t="shared" si="23"/>
        <v>0</v>
      </c>
      <c r="BK129" s="28" t="s">
        <v>561</v>
      </c>
      <c r="BL129" s="51">
        <v>89</v>
      </c>
    </row>
    <row r="130" spans="1:64" ht="12.75">
      <c r="A130" s="8" t="s">
        <v>71</v>
      </c>
      <c r="B130" s="18" t="s">
        <v>134</v>
      </c>
      <c r="C130" s="18" t="s">
        <v>205</v>
      </c>
      <c r="D130" s="175" t="s">
        <v>365</v>
      </c>
      <c r="E130" s="176"/>
      <c r="F130" s="18" t="s">
        <v>458</v>
      </c>
      <c r="G130" s="30">
        <v>1</v>
      </c>
      <c r="H130" s="30">
        <v>0</v>
      </c>
      <c r="I130" s="30">
        <f t="shared" si="0"/>
        <v>0</v>
      </c>
      <c r="J130" s="30">
        <f t="shared" si="1"/>
        <v>0</v>
      </c>
      <c r="K130" s="30">
        <f t="shared" si="2"/>
        <v>0</v>
      </c>
      <c r="L130" s="30">
        <v>0.0075</v>
      </c>
      <c r="M130" s="30">
        <f t="shared" si="3"/>
        <v>0.0075</v>
      </c>
      <c r="N130" s="48" t="s">
        <v>484</v>
      </c>
      <c r="O130" s="6"/>
      <c r="Z130" s="51">
        <f t="shared" si="4"/>
        <v>0</v>
      </c>
      <c r="AB130" s="51">
        <f t="shared" si="5"/>
        <v>0</v>
      </c>
      <c r="AC130" s="51">
        <f t="shared" si="6"/>
        <v>0</v>
      </c>
      <c r="AD130" s="51">
        <f t="shared" si="7"/>
        <v>0</v>
      </c>
      <c r="AE130" s="51">
        <f t="shared" si="8"/>
        <v>0</v>
      </c>
      <c r="AF130" s="51">
        <f t="shared" si="9"/>
        <v>0</v>
      </c>
      <c r="AG130" s="51">
        <f t="shared" si="10"/>
        <v>0</v>
      </c>
      <c r="AH130" s="51">
        <f t="shared" si="11"/>
        <v>0</v>
      </c>
      <c r="AI130" s="39" t="s">
        <v>134</v>
      </c>
      <c r="AJ130" s="30">
        <f t="shared" si="12"/>
        <v>0</v>
      </c>
      <c r="AK130" s="30">
        <f t="shared" si="13"/>
        <v>0</v>
      </c>
      <c r="AL130" s="30">
        <f t="shared" si="14"/>
        <v>0</v>
      </c>
      <c r="AN130" s="51">
        <v>21</v>
      </c>
      <c r="AO130" s="51">
        <f>H130*1</f>
        <v>0</v>
      </c>
      <c r="AP130" s="51">
        <f>H130*(1-1)</f>
        <v>0</v>
      </c>
      <c r="AQ130" s="53" t="s">
        <v>7</v>
      </c>
      <c r="AV130" s="51">
        <f t="shared" si="15"/>
        <v>0</v>
      </c>
      <c r="AW130" s="51">
        <f t="shared" si="16"/>
        <v>0</v>
      </c>
      <c r="AX130" s="51">
        <f t="shared" si="17"/>
        <v>0</v>
      </c>
      <c r="AY130" s="54" t="s">
        <v>518</v>
      </c>
      <c r="AZ130" s="54" t="s">
        <v>538</v>
      </c>
      <c r="BA130" s="39" t="s">
        <v>553</v>
      </c>
      <c r="BC130" s="51">
        <f t="shared" si="18"/>
        <v>0</v>
      </c>
      <c r="BD130" s="51">
        <f t="shared" si="19"/>
        <v>0</v>
      </c>
      <c r="BE130" s="51">
        <v>0</v>
      </c>
      <c r="BF130" s="51">
        <f t="shared" si="20"/>
        <v>0.0075</v>
      </c>
      <c r="BH130" s="30">
        <f t="shared" si="21"/>
        <v>0</v>
      </c>
      <c r="BI130" s="30">
        <f t="shared" si="22"/>
        <v>0</v>
      </c>
      <c r="BJ130" s="30">
        <f t="shared" si="23"/>
        <v>0</v>
      </c>
      <c r="BK130" s="30" t="s">
        <v>562</v>
      </c>
      <c r="BL130" s="51">
        <v>89</v>
      </c>
    </row>
    <row r="131" spans="1:64" ht="12.75">
      <c r="A131" s="5" t="s">
        <v>72</v>
      </c>
      <c r="B131" s="16" t="s">
        <v>134</v>
      </c>
      <c r="C131" s="16" t="s">
        <v>206</v>
      </c>
      <c r="D131" s="161" t="s">
        <v>366</v>
      </c>
      <c r="E131" s="162"/>
      <c r="F131" s="16" t="s">
        <v>461</v>
      </c>
      <c r="G131" s="28">
        <v>180</v>
      </c>
      <c r="H131" s="28">
        <v>0</v>
      </c>
      <c r="I131" s="28">
        <f t="shared" si="0"/>
        <v>0</v>
      </c>
      <c r="J131" s="28">
        <f t="shared" si="1"/>
        <v>0</v>
      </c>
      <c r="K131" s="28">
        <f t="shared" si="2"/>
        <v>0</v>
      </c>
      <c r="L131" s="28">
        <v>0</v>
      </c>
      <c r="M131" s="28">
        <f t="shared" si="3"/>
        <v>0</v>
      </c>
      <c r="N131" s="45" t="s">
        <v>484</v>
      </c>
      <c r="O131" s="6"/>
      <c r="Z131" s="51">
        <f t="shared" si="4"/>
        <v>0</v>
      </c>
      <c r="AB131" s="51">
        <f t="shared" si="5"/>
        <v>0</v>
      </c>
      <c r="AC131" s="51">
        <f t="shared" si="6"/>
        <v>0</v>
      </c>
      <c r="AD131" s="51">
        <f t="shared" si="7"/>
        <v>0</v>
      </c>
      <c r="AE131" s="51">
        <f t="shared" si="8"/>
        <v>0</v>
      </c>
      <c r="AF131" s="51">
        <f t="shared" si="9"/>
        <v>0</v>
      </c>
      <c r="AG131" s="51">
        <f t="shared" si="10"/>
        <v>0</v>
      </c>
      <c r="AH131" s="51">
        <f t="shared" si="11"/>
        <v>0</v>
      </c>
      <c r="AI131" s="39" t="s">
        <v>134</v>
      </c>
      <c r="AJ131" s="28">
        <f t="shared" si="12"/>
        <v>0</v>
      </c>
      <c r="AK131" s="28">
        <f t="shared" si="13"/>
        <v>0</v>
      </c>
      <c r="AL131" s="28">
        <f t="shared" si="14"/>
        <v>0</v>
      </c>
      <c r="AN131" s="51">
        <v>21</v>
      </c>
      <c r="AO131" s="51">
        <f>H131*0.00544041450777202</f>
        <v>0</v>
      </c>
      <c r="AP131" s="51">
        <f>H131*(1-0.00544041450777202)</f>
        <v>0</v>
      </c>
      <c r="AQ131" s="52" t="s">
        <v>7</v>
      </c>
      <c r="AV131" s="51">
        <f t="shared" si="15"/>
        <v>0</v>
      </c>
      <c r="AW131" s="51">
        <f t="shared" si="16"/>
        <v>0</v>
      </c>
      <c r="AX131" s="51">
        <f t="shared" si="17"/>
        <v>0</v>
      </c>
      <c r="AY131" s="54" t="s">
        <v>518</v>
      </c>
      <c r="AZ131" s="54" t="s">
        <v>538</v>
      </c>
      <c r="BA131" s="39" t="s">
        <v>553</v>
      </c>
      <c r="BC131" s="51">
        <f t="shared" si="18"/>
        <v>0</v>
      </c>
      <c r="BD131" s="51">
        <f t="shared" si="19"/>
        <v>0</v>
      </c>
      <c r="BE131" s="51">
        <v>0</v>
      </c>
      <c r="BF131" s="51">
        <f t="shared" si="20"/>
        <v>0</v>
      </c>
      <c r="BH131" s="28">
        <f t="shared" si="21"/>
        <v>0</v>
      </c>
      <c r="BI131" s="28">
        <f t="shared" si="22"/>
        <v>0</v>
      </c>
      <c r="BJ131" s="28">
        <f t="shared" si="23"/>
        <v>0</v>
      </c>
      <c r="BK131" s="28" t="s">
        <v>561</v>
      </c>
      <c r="BL131" s="51">
        <v>89</v>
      </c>
    </row>
    <row r="132" spans="1:64" ht="12.75">
      <c r="A132" s="5" t="s">
        <v>73</v>
      </c>
      <c r="B132" s="16" t="s">
        <v>134</v>
      </c>
      <c r="C132" s="16" t="s">
        <v>207</v>
      </c>
      <c r="D132" s="161" t="s">
        <v>367</v>
      </c>
      <c r="E132" s="162"/>
      <c r="F132" s="16" t="s">
        <v>461</v>
      </c>
      <c r="G132" s="28">
        <v>180</v>
      </c>
      <c r="H132" s="28">
        <v>0</v>
      </c>
      <c r="I132" s="28">
        <f t="shared" si="0"/>
        <v>0</v>
      </c>
      <c r="J132" s="28">
        <f t="shared" si="1"/>
        <v>0</v>
      </c>
      <c r="K132" s="28">
        <f t="shared" si="2"/>
        <v>0</v>
      </c>
      <c r="L132" s="28">
        <v>0</v>
      </c>
      <c r="M132" s="28">
        <f t="shared" si="3"/>
        <v>0</v>
      </c>
      <c r="N132" s="45" t="s">
        <v>484</v>
      </c>
      <c r="O132" s="6"/>
      <c r="Z132" s="51">
        <f t="shared" si="4"/>
        <v>0</v>
      </c>
      <c r="AB132" s="51">
        <f t="shared" si="5"/>
        <v>0</v>
      </c>
      <c r="AC132" s="51">
        <f t="shared" si="6"/>
        <v>0</v>
      </c>
      <c r="AD132" s="51">
        <f t="shared" si="7"/>
        <v>0</v>
      </c>
      <c r="AE132" s="51">
        <f t="shared" si="8"/>
        <v>0</v>
      </c>
      <c r="AF132" s="51">
        <f t="shared" si="9"/>
        <v>0</v>
      </c>
      <c r="AG132" s="51">
        <f t="shared" si="10"/>
        <v>0</v>
      </c>
      <c r="AH132" s="51">
        <f t="shared" si="11"/>
        <v>0</v>
      </c>
      <c r="AI132" s="39" t="s">
        <v>134</v>
      </c>
      <c r="AJ132" s="28">
        <f t="shared" si="12"/>
        <v>0</v>
      </c>
      <c r="AK132" s="28">
        <f t="shared" si="13"/>
        <v>0</v>
      </c>
      <c r="AL132" s="28">
        <f t="shared" si="14"/>
        <v>0</v>
      </c>
      <c r="AN132" s="51">
        <v>21</v>
      </c>
      <c r="AO132" s="51">
        <f>H132*0.023694602896007</f>
        <v>0</v>
      </c>
      <c r="AP132" s="51">
        <f>H132*(1-0.023694602896007)</f>
        <v>0</v>
      </c>
      <c r="AQ132" s="52" t="s">
        <v>7</v>
      </c>
      <c r="AV132" s="51">
        <f t="shared" si="15"/>
        <v>0</v>
      </c>
      <c r="AW132" s="51">
        <f t="shared" si="16"/>
        <v>0</v>
      </c>
      <c r="AX132" s="51">
        <f t="shared" si="17"/>
        <v>0</v>
      </c>
      <c r="AY132" s="54" t="s">
        <v>518</v>
      </c>
      <c r="AZ132" s="54" t="s">
        <v>538</v>
      </c>
      <c r="BA132" s="39" t="s">
        <v>553</v>
      </c>
      <c r="BC132" s="51">
        <f t="shared" si="18"/>
        <v>0</v>
      </c>
      <c r="BD132" s="51">
        <f t="shared" si="19"/>
        <v>0</v>
      </c>
      <c r="BE132" s="51">
        <v>0</v>
      </c>
      <c r="BF132" s="51">
        <f t="shared" si="20"/>
        <v>0</v>
      </c>
      <c r="BH132" s="28">
        <f t="shared" si="21"/>
        <v>0</v>
      </c>
      <c r="BI132" s="28">
        <f t="shared" si="22"/>
        <v>0</v>
      </c>
      <c r="BJ132" s="28">
        <f t="shared" si="23"/>
        <v>0</v>
      </c>
      <c r="BK132" s="28" t="s">
        <v>561</v>
      </c>
      <c r="BL132" s="51">
        <v>89</v>
      </c>
    </row>
    <row r="133" spans="1:64" ht="12.75">
      <c r="A133" s="5" t="s">
        <v>74</v>
      </c>
      <c r="B133" s="16" t="s">
        <v>134</v>
      </c>
      <c r="C133" s="16" t="s">
        <v>208</v>
      </c>
      <c r="D133" s="161" t="s">
        <v>368</v>
      </c>
      <c r="E133" s="162"/>
      <c r="F133" s="16" t="s">
        <v>458</v>
      </c>
      <c r="G133" s="28">
        <v>4</v>
      </c>
      <c r="H133" s="28">
        <v>0</v>
      </c>
      <c r="I133" s="28">
        <f t="shared" si="0"/>
        <v>0</v>
      </c>
      <c r="J133" s="28">
        <f t="shared" si="1"/>
        <v>0</v>
      </c>
      <c r="K133" s="28">
        <f t="shared" si="2"/>
        <v>0</v>
      </c>
      <c r="L133" s="28">
        <v>0.40105</v>
      </c>
      <c r="M133" s="28">
        <f t="shared" si="3"/>
        <v>1.6042</v>
      </c>
      <c r="N133" s="45" t="s">
        <v>484</v>
      </c>
      <c r="O133" s="6"/>
      <c r="Z133" s="51">
        <f t="shared" si="4"/>
        <v>0</v>
      </c>
      <c r="AB133" s="51">
        <f t="shared" si="5"/>
        <v>0</v>
      </c>
      <c r="AC133" s="51">
        <f t="shared" si="6"/>
        <v>0</v>
      </c>
      <c r="AD133" s="51">
        <f t="shared" si="7"/>
        <v>0</v>
      </c>
      <c r="AE133" s="51">
        <f t="shared" si="8"/>
        <v>0</v>
      </c>
      <c r="AF133" s="51">
        <f t="shared" si="9"/>
        <v>0</v>
      </c>
      <c r="AG133" s="51">
        <f t="shared" si="10"/>
        <v>0</v>
      </c>
      <c r="AH133" s="51">
        <f t="shared" si="11"/>
        <v>0</v>
      </c>
      <c r="AI133" s="39" t="s">
        <v>134</v>
      </c>
      <c r="AJ133" s="28">
        <f t="shared" si="12"/>
        <v>0</v>
      </c>
      <c r="AK133" s="28">
        <f t="shared" si="13"/>
        <v>0</v>
      </c>
      <c r="AL133" s="28">
        <f t="shared" si="14"/>
        <v>0</v>
      </c>
      <c r="AN133" s="51">
        <v>21</v>
      </c>
      <c r="AO133" s="51">
        <f>H133*0.620310421286031</f>
        <v>0</v>
      </c>
      <c r="AP133" s="51">
        <f>H133*(1-0.620310421286031)</f>
        <v>0</v>
      </c>
      <c r="AQ133" s="52" t="s">
        <v>7</v>
      </c>
      <c r="AV133" s="51">
        <f t="shared" si="15"/>
        <v>0</v>
      </c>
      <c r="AW133" s="51">
        <f t="shared" si="16"/>
        <v>0</v>
      </c>
      <c r="AX133" s="51">
        <f t="shared" si="17"/>
        <v>0</v>
      </c>
      <c r="AY133" s="54" t="s">
        <v>518</v>
      </c>
      <c r="AZ133" s="54" t="s">
        <v>538</v>
      </c>
      <c r="BA133" s="39" t="s">
        <v>553</v>
      </c>
      <c r="BC133" s="51">
        <f t="shared" si="18"/>
        <v>0</v>
      </c>
      <c r="BD133" s="51">
        <f t="shared" si="19"/>
        <v>0</v>
      </c>
      <c r="BE133" s="51">
        <v>0</v>
      </c>
      <c r="BF133" s="51">
        <f t="shared" si="20"/>
        <v>1.6042</v>
      </c>
      <c r="BH133" s="28">
        <f t="shared" si="21"/>
        <v>0</v>
      </c>
      <c r="BI133" s="28">
        <f t="shared" si="22"/>
        <v>0</v>
      </c>
      <c r="BJ133" s="28">
        <f t="shared" si="23"/>
        <v>0</v>
      </c>
      <c r="BK133" s="28" t="s">
        <v>561</v>
      </c>
      <c r="BL133" s="51">
        <v>89</v>
      </c>
    </row>
    <row r="134" spans="1:64" ht="12.75">
      <c r="A134" s="8" t="s">
        <v>75</v>
      </c>
      <c r="B134" s="18" t="s">
        <v>134</v>
      </c>
      <c r="C134" s="18" t="s">
        <v>209</v>
      </c>
      <c r="D134" s="175" t="s">
        <v>369</v>
      </c>
      <c r="E134" s="176"/>
      <c r="F134" s="18" t="s">
        <v>458</v>
      </c>
      <c r="G134" s="30">
        <v>2</v>
      </c>
      <c r="H134" s="30">
        <v>0</v>
      </c>
      <c r="I134" s="30">
        <f t="shared" si="0"/>
        <v>0</v>
      </c>
      <c r="J134" s="30">
        <f t="shared" si="1"/>
        <v>0</v>
      </c>
      <c r="K134" s="30">
        <f t="shared" si="2"/>
        <v>0</v>
      </c>
      <c r="L134" s="30">
        <v>0.112</v>
      </c>
      <c r="M134" s="30">
        <f t="shared" si="3"/>
        <v>0.224</v>
      </c>
      <c r="N134" s="48" t="s">
        <v>484</v>
      </c>
      <c r="O134" s="6"/>
      <c r="Z134" s="51">
        <f t="shared" si="4"/>
        <v>0</v>
      </c>
      <c r="AB134" s="51">
        <f t="shared" si="5"/>
        <v>0</v>
      </c>
      <c r="AC134" s="51">
        <f t="shared" si="6"/>
        <v>0</v>
      </c>
      <c r="AD134" s="51">
        <f t="shared" si="7"/>
        <v>0</v>
      </c>
      <c r="AE134" s="51">
        <f t="shared" si="8"/>
        <v>0</v>
      </c>
      <c r="AF134" s="51">
        <f t="shared" si="9"/>
        <v>0</v>
      </c>
      <c r="AG134" s="51">
        <f t="shared" si="10"/>
        <v>0</v>
      </c>
      <c r="AH134" s="51">
        <f t="shared" si="11"/>
        <v>0</v>
      </c>
      <c r="AI134" s="39" t="s">
        <v>134</v>
      </c>
      <c r="AJ134" s="30">
        <f t="shared" si="12"/>
        <v>0</v>
      </c>
      <c r="AK134" s="30">
        <f t="shared" si="13"/>
        <v>0</v>
      </c>
      <c r="AL134" s="30">
        <f t="shared" si="14"/>
        <v>0</v>
      </c>
      <c r="AN134" s="51">
        <v>21</v>
      </c>
      <c r="AO134" s="51">
        <f>H134*1</f>
        <v>0</v>
      </c>
      <c r="AP134" s="51">
        <f>H134*(1-1)</f>
        <v>0</v>
      </c>
      <c r="AQ134" s="53" t="s">
        <v>7</v>
      </c>
      <c r="AV134" s="51">
        <f t="shared" si="15"/>
        <v>0</v>
      </c>
      <c r="AW134" s="51">
        <f t="shared" si="16"/>
        <v>0</v>
      </c>
      <c r="AX134" s="51">
        <f t="shared" si="17"/>
        <v>0</v>
      </c>
      <c r="AY134" s="54" t="s">
        <v>518</v>
      </c>
      <c r="AZ134" s="54" t="s">
        <v>538</v>
      </c>
      <c r="BA134" s="39" t="s">
        <v>553</v>
      </c>
      <c r="BC134" s="51">
        <f t="shared" si="18"/>
        <v>0</v>
      </c>
      <c r="BD134" s="51">
        <f t="shared" si="19"/>
        <v>0</v>
      </c>
      <c r="BE134" s="51">
        <v>0</v>
      </c>
      <c r="BF134" s="51">
        <f t="shared" si="20"/>
        <v>0.224</v>
      </c>
      <c r="BH134" s="30">
        <f t="shared" si="21"/>
        <v>0</v>
      </c>
      <c r="BI134" s="30">
        <f t="shared" si="22"/>
        <v>0</v>
      </c>
      <c r="BJ134" s="30">
        <f t="shared" si="23"/>
        <v>0</v>
      </c>
      <c r="BK134" s="30" t="s">
        <v>562</v>
      </c>
      <c r="BL134" s="51">
        <v>89</v>
      </c>
    </row>
    <row r="135" spans="1:64" ht="12.75">
      <c r="A135" s="5" t="s">
        <v>76</v>
      </c>
      <c r="B135" s="16" t="s">
        <v>134</v>
      </c>
      <c r="C135" s="16" t="s">
        <v>210</v>
      </c>
      <c r="D135" s="161" t="s">
        <v>370</v>
      </c>
      <c r="E135" s="162"/>
      <c r="F135" s="16" t="s">
        <v>458</v>
      </c>
      <c r="G135" s="28">
        <v>2</v>
      </c>
      <c r="H135" s="28">
        <v>0</v>
      </c>
      <c r="I135" s="28">
        <f t="shared" si="0"/>
        <v>0</v>
      </c>
      <c r="J135" s="28">
        <f t="shared" si="1"/>
        <v>0</v>
      </c>
      <c r="K135" s="28">
        <f t="shared" si="2"/>
        <v>0</v>
      </c>
      <c r="L135" s="28">
        <v>0.16502</v>
      </c>
      <c r="M135" s="28">
        <f t="shared" si="3"/>
        <v>0.33004</v>
      </c>
      <c r="N135" s="45" t="s">
        <v>484</v>
      </c>
      <c r="O135" s="6"/>
      <c r="Z135" s="51">
        <f t="shared" si="4"/>
        <v>0</v>
      </c>
      <c r="AB135" s="51">
        <f t="shared" si="5"/>
        <v>0</v>
      </c>
      <c r="AC135" s="51">
        <f t="shared" si="6"/>
        <v>0</v>
      </c>
      <c r="AD135" s="51">
        <f t="shared" si="7"/>
        <v>0</v>
      </c>
      <c r="AE135" s="51">
        <f t="shared" si="8"/>
        <v>0</v>
      </c>
      <c r="AF135" s="51">
        <f t="shared" si="9"/>
        <v>0</v>
      </c>
      <c r="AG135" s="51">
        <f t="shared" si="10"/>
        <v>0</v>
      </c>
      <c r="AH135" s="51">
        <f t="shared" si="11"/>
        <v>0</v>
      </c>
      <c r="AI135" s="39" t="s">
        <v>134</v>
      </c>
      <c r="AJ135" s="28">
        <f t="shared" si="12"/>
        <v>0</v>
      </c>
      <c r="AK135" s="28">
        <f t="shared" si="13"/>
        <v>0</v>
      </c>
      <c r="AL135" s="28">
        <f t="shared" si="14"/>
        <v>0</v>
      </c>
      <c r="AN135" s="51">
        <v>21</v>
      </c>
      <c r="AO135" s="51">
        <f>H135*0.81116231461799</f>
        <v>0</v>
      </c>
      <c r="AP135" s="51">
        <f>H135*(1-0.81116231461799)</f>
        <v>0</v>
      </c>
      <c r="AQ135" s="52" t="s">
        <v>7</v>
      </c>
      <c r="AV135" s="51">
        <f t="shared" si="15"/>
        <v>0</v>
      </c>
      <c r="AW135" s="51">
        <f t="shared" si="16"/>
        <v>0</v>
      </c>
      <c r="AX135" s="51">
        <f t="shared" si="17"/>
        <v>0</v>
      </c>
      <c r="AY135" s="54" t="s">
        <v>518</v>
      </c>
      <c r="AZ135" s="54" t="s">
        <v>538</v>
      </c>
      <c r="BA135" s="39" t="s">
        <v>553</v>
      </c>
      <c r="BC135" s="51">
        <f t="shared" si="18"/>
        <v>0</v>
      </c>
      <c r="BD135" s="51">
        <f t="shared" si="19"/>
        <v>0</v>
      </c>
      <c r="BE135" s="51">
        <v>0</v>
      </c>
      <c r="BF135" s="51">
        <f t="shared" si="20"/>
        <v>0.33004</v>
      </c>
      <c r="BH135" s="28">
        <f t="shared" si="21"/>
        <v>0</v>
      </c>
      <c r="BI135" s="28">
        <f t="shared" si="22"/>
        <v>0</v>
      </c>
      <c r="BJ135" s="28">
        <f t="shared" si="23"/>
        <v>0</v>
      </c>
      <c r="BK135" s="28" t="s">
        <v>561</v>
      </c>
      <c r="BL135" s="51">
        <v>89</v>
      </c>
    </row>
    <row r="136" spans="1:15" ht="12.75">
      <c r="A136" s="6"/>
      <c r="C136" s="20" t="s">
        <v>141</v>
      </c>
      <c r="D136" s="163" t="s">
        <v>371</v>
      </c>
      <c r="E136" s="164"/>
      <c r="F136" s="164"/>
      <c r="G136" s="164"/>
      <c r="H136" s="164"/>
      <c r="I136" s="164"/>
      <c r="J136" s="164"/>
      <c r="K136" s="164"/>
      <c r="L136" s="164"/>
      <c r="M136" s="164"/>
      <c r="N136" s="165"/>
      <c r="O136" s="6"/>
    </row>
    <row r="137" spans="1:64" ht="12.75">
      <c r="A137" s="8" t="s">
        <v>77</v>
      </c>
      <c r="B137" s="18" t="s">
        <v>134</v>
      </c>
      <c r="C137" s="18" t="s">
        <v>211</v>
      </c>
      <c r="D137" s="175" t="s">
        <v>372</v>
      </c>
      <c r="E137" s="176"/>
      <c r="F137" s="18" t="s">
        <v>458</v>
      </c>
      <c r="G137" s="30">
        <v>2</v>
      </c>
      <c r="H137" s="30">
        <v>0</v>
      </c>
      <c r="I137" s="30">
        <f>G137*AO137</f>
        <v>0</v>
      </c>
      <c r="J137" s="30">
        <f>G137*AP137</f>
        <v>0</v>
      </c>
      <c r="K137" s="30">
        <f>G137*H137</f>
        <v>0</v>
      </c>
      <c r="L137" s="30">
        <v>0.13</v>
      </c>
      <c r="M137" s="30">
        <f>G137*L137</f>
        <v>0.26</v>
      </c>
      <c r="N137" s="48" t="s">
        <v>484</v>
      </c>
      <c r="O137" s="6"/>
      <c r="Z137" s="51">
        <f>IF(AQ137="5",BJ137,0)</f>
        <v>0</v>
      </c>
      <c r="AB137" s="51">
        <f>IF(AQ137="1",BH137,0)</f>
        <v>0</v>
      </c>
      <c r="AC137" s="51">
        <f>IF(AQ137="1",BI137,0)</f>
        <v>0</v>
      </c>
      <c r="AD137" s="51">
        <f>IF(AQ137="7",BH137,0)</f>
        <v>0</v>
      </c>
      <c r="AE137" s="51">
        <f>IF(AQ137="7",BI137,0)</f>
        <v>0</v>
      </c>
      <c r="AF137" s="51">
        <f>IF(AQ137="2",BH137,0)</f>
        <v>0</v>
      </c>
      <c r="AG137" s="51">
        <f>IF(AQ137="2",BI137,0)</f>
        <v>0</v>
      </c>
      <c r="AH137" s="51">
        <f>IF(AQ137="0",BJ137,0)</f>
        <v>0</v>
      </c>
      <c r="AI137" s="39" t="s">
        <v>134</v>
      </c>
      <c r="AJ137" s="30">
        <f>IF(AN137=0,K137,0)</f>
        <v>0</v>
      </c>
      <c r="AK137" s="30">
        <f>IF(AN137=15,K137,0)</f>
        <v>0</v>
      </c>
      <c r="AL137" s="30">
        <f>IF(AN137=21,K137,0)</f>
        <v>0</v>
      </c>
      <c r="AN137" s="51">
        <v>21</v>
      </c>
      <c r="AO137" s="51">
        <f>H137*1</f>
        <v>0</v>
      </c>
      <c r="AP137" s="51">
        <f>H137*(1-1)</f>
        <v>0</v>
      </c>
      <c r="AQ137" s="53" t="s">
        <v>7</v>
      </c>
      <c r="AV137" s="51">
        <f>AW137+AX137</f>
        <v>0</v>
      </c>
      <c r="AW137" s="51">
        <f>G137*AO137</f>
        <v>0</v>
      </c>
      <c r="AX137" s="51">
        <f>G137*AP137</f>
        <v>0</v>
      </c>
      <c r="AY137" s="54" t="s">
        <v>518</v>
      </c>
      <c r="AZ137" s="54" t="s">
        <v>538</v>
      </c>
      <c r="BA137" s="39" t="s">
        <v>553</v>
      </c>
      <c r="BC137" s="51">
        <f>AW137+AX137</f>
        <v>0</v>
      </c>
      <c r="BD137" s="51">
        <f>H137/(100-BE137)*100</f>
        <v>0</v>
      </c>
      <c r="BE137" s="51">
        <v>0</v>
      </c>
      <c r="BF137" s="51">
        <f>M137</f>
        <v>0.26</v>
      </c>
      <c r="BH137" s="30">
        <f>G137*AO137</f>
        <v>0</v>
      </c>
      <c r="BI137" s="30">
        <f>G137*AP137</f>
        <v>0</v>
      </c>
      <c r="BJ137" s="30">
        <f>G137*H137</f>
        <v>0</v>
      </c>
      <c r="BK137" s="30" t="s">
        <v>562</v>
      </c>
      <c r="BL137" s="51">
        <v>89</v>
      </c>
    </row>
    <row r="138" spans="1:64" ht="12.75">
      <c r="A138" s="5" t="s">
        <v>78</v>
      </c>
      <c r="B138" s="16" t="s">
        <v>134</v>
      </c>
      <c r="C138" s="16" t="s">
        <v>212</v>
      </c>
      <c r="D138" s="161" t="s">
        <v>373</v>
      </c>
      <c r="E138" s="162"/>
      <c r="F138" s="16" t="s">
        <v>458</v>
      </c>
      <c r="G138" s="28">
        <v>2</v>
      </c>
      <c r="H138" s="28">
        <v>0</v>
      </c>
      <c r="I138" s="28">
        <f>G138*AO138</f>
        <v>0</v>
      </c>
      <c r="J138" s="28">
        <f>G138*AP138</f>
        <v>0</v>
      </c>
      <c r="K138" s="28">
        <f>G138*H138</f>
        <v>0</v>
      </c>
      <c r="L138" s="28">
        <v>0.06383</v>
      </c>
      <c r="M138" s="28">
        <f>G138*L138</f>
        <v>0.12766</v>
      </c>
      <c r="N138" s="45" t="s">
        <v>484</v>
      </c>
      <c r="O138" s="6"/>
      <c r="Z138" s="51">
        <f>IF(AQ138="5",BJ138,0)</f>
        <v>0</v>
      </c>
      <c r="AB138" s="51">
        <f>IF(AQ138="1",BH138,0)</f>
        <v>0</v>
      </c>
      <c r="AC138" s="51">
        <f>IF(AQ138="1",BI138,0)</f>
        <v>0</v>
      </c>
      <c r="AD138" s="51">
        <f>IF(AQ138="7",BH138,0)</f>
        <v>0</v>
      </c>
      <c r="AE138" s="51">
        <f>IF(AQ138="7",BI138,0)</f>
        <v>0</v>
      </c>
      <c r="AF138" s="51">
        <f>IF(AQ138="2",BH138,0)</f>
        <v>0</v>
      </c>
      <c r="AG138" s="51">
        <f>IF(AQ138="2",BI138,0)</f>
        <v>0</v>
      </c>
      <c r="AH138" s="51">
        <f>IF(AQ138="0",BJ138,0)</f>
        <v>0</v>
      </c>
      <c r="AI138" s="39" t="s">
        <v>134</v>
      </c>
      <c r="AJ138" s="28">
        <f>IF(AN138=0,K138,0)</f>
        <v>0</v>
      </c>
      <c r="AK138" s="28">
        <f>IF(AN138=15,K138,0)</f>
        <v>0</v>
      </c>
      <c r="AL138" s="28">
        <f>IF(AN138=21,K138,0)</f>
        <v>0</v>
      </c>
      <c r="AN138" s="51">
        <v>21</v>
      </c>
      <c r="AO138" s="51">
        <f>H138*0.242984512256566</f>
        <v>0</v>
      </c>
      <c r="AP138" s="51">
        <f>H138*(1-0.242984512256566)</f>
        <v>0</v>
      </c>
      <c r="AQ138" s="52" t="s">
        <v>7</v>
      </c>
      <c r="AV138" s="51">
        <f>AW138+AX138</f>
        <v>0</v>
      </c>
      <c r="AW138" s="51">
        <f>G138*AO138</f>
        <v>0</v>
      </c>
      <c r="AX138" s="51">
        <f>G138*AP138</f>
        <v>0</v>
      </c>
      <c r="AY138" s="54" t="s">
        <v>518</v>
      </c>
      <c r="AZ138" s="54" t="s">
        <v>538</v>
      </c>
      <c r="BA138" s="39" t="s">
        <v>553</v>
      </c>
      <c r="BC138" s="51">
        <f>AW138+AX138</f>
        <v>0</v>
      </c>
      <c r="BD138" s="51">
        <f>H138/(100-BE138)*100</f>
        <v>0</v>
      </c>
      <c r="BE138" s="51">
        <v>0</v>
      </c>
      <c r="BF138" s="51">
        <f>M138</f>
        <v>0.12766</v>
      </c>
      <c r="BH138" s="28">
        <f>G138*AO138</f>
        <v>0</v>
      </c>
      <c r="BI138" s="28">
        <f>G138*AP138</f>
        <v>0</v>
      </c>
      <c r="BJ138" s="28">
        <f>G138*H138</f>
        <v>0</v>
      </c>
      <c r="BK138" s="28" t="s">
        <v>561</v>
      </c>
      <c r="BL138" s="51">
        <v>89</v>
      </c>
    </row>
    <row r="139" spans="1:64" ht="12.75">
      <c r="A139" s="8" t="s">
        <v>79</v>
      </c>
      <c r="B139" s="18" t="s">
        <v>134</v>
      </c>
      <c r="C139" s="18" t="s">
        <v>213</v>
      </c>
      <c r="D139" s="175" t="s">
        <v>374</v>
      </c>
      <c r="E139" s="176"/>
      <c r="F139" s="18" t="s">
        <v>458</v>
      </c>
      <c r="G139" s="30">
        <v>2</v>
      </c>
      <c r="H139" s="30">
        <v>0</v>
      </c>
      <c r="I139" s="30">
        <f>G139*AO139</f>
        <v>0</v>
      </c>
      <c r="J139" s="30">
        <f>G139*AP139</f>
        <v>0</v>
      </c>
      <c r="K139" s="30">
        <f>G139*H139</f>
        <v>0</v>
      </c>
      <c r="L139" s="30">
        <v>0.0113</v>
      </c>
      <c r="M139" s="30">
        <f>G139*L139</f>
        <v>0.0226</v>
      </c>
      <c r="N139" s="48" t="s">
        <v>484</v>
      </c>
      <c r="O139" s="6"/>
      <c r="Z139" s="51">
        <f>IF(AQ139="5",BJ139,0)</f>
        <v>0</v>
      </c>
      <c r="AB139" s="51">
        <f>IF(AQ139="1",BH139,0)</f>
        <v>0</v>
      </c>
      <c r="AC139" s="51">
        <f>IF(AQ139="1",BI139,0)</f>
        <v>0</v>
      </c>
      <c r="AD139" s="51">
        <f>IF(AQ139="7",BH139,0)</f>
        <v>0</v>
      </c>
      <c r="AE139" s="51">
        <f>IF(AQ139="7",BI139,0)</f>
        <v>0</v>
      </c>
      <c r="AF139" s="51">
        <f>IF(AQ139="2",BH139,0)</f>
        <v>0</v>
      </c>
      <c r="AG139" s="51">
        <f>IF(AQ139="2",BI139,0)</f>
        <v>0</v>
      </c>
      <c r="AH139" s="51">
        <f>IF(AQ139="0",BJ139,0)</f>
        <v>0</v>
      </c>
      <c r="AI139" s="39" t="s">
        <v>134</v>
      </c>
      <c r="AJ139" s="30">
        <f>IF(AN139=0,K139,0)</f>
        <v>0</v>
      </c>
      <c r="AK139" s="30">
        <f>IF(AN139=15,K139,0)</f>
        <v>0</v>
      </c>
      <c r="AL139" s="30">
        <f>IF(AN139=21,K139,0)</f>
        <v>0</v>
      </c>
      <c r="AN139" s="51">
        <v>21</v>
      </c>
      <c r="AO139" s="51">
        <f>H139*1</f>
        <v>0</v>
      </c>
      <c r="AP139" s="51">
        <f>H139*(1-1)</f>
        <v>0</v>
      </c>
      <c r="AQ139" s="53" t="s">
        <v>7</v>
      </c>
      <c r="AV139" s="51">
        <f>AW139+AX139</f>
        <v>0</v>
      </c>
      <c r="AW139" s="51">
        <f>G139*AO139</f>
        <v>0</v>
      </c>
      <c r="AX139" s="51">
        <f>G139*AP139</f>
        <v>0</v>
      </c>
      <c r="AY139" s="54" t="s">
        <v>518</v>
      </c>
      <c r="AZ139" s="54" t="s">
        <v>538</v>
      </c>
      <c r="BA139" s="39" t="s">
        <v>553</v>
      </c>
      <c r="BC139" s="51">
        <f>AW139+AX139</f>
        <v>0</v>
      </c>
      <c r="BD139" s="51">
        <f>H139/(100-BE139)*100</f>
        <v>0</v>
      </c>
      <c r="BE139" s="51">
        <v>0</v>
      </c>
      <c r="BF139" s="51">
        <f>M139</f>
        <v>0.0226</v>
      </c>
      <c r="BH139" s="30">
        <f>G139*AO139</f>
        <v>0</v>
      </c>
      <c r="BI139" s="30">
        <f>G139*AP139</f>
        <v>0</v>
      </c>
      <c r="BJ139" s="30">
        <f>G139*H139</f>
        <v>0</v>
      </c>
      <c r="BK139" s="30" t="s">
        <v>562</v>
      </c>
      <c r="BL139" s="51">
        <v>89</v>
      </c>
    </row>
    <row r="140" spans="1:64" ht="12.75">
      <c r="A140" s="5" t="s">
        <v>80</v>
      </c>
      <c r="B140" s="16" t="s">
        <v>134</v>
      </c>
      <c r="C140" s="16" t="s">
        <v>214</v>
      </c>
      <c r="D140" s="161" t="s">
        <v>375</v>
      </c>
      <c r="E140" s="162"/>
      <c r="F140" s="16" t="s">
        <v>461</v>
      </c>
      <c r="G140" s="28">
        <v>180</v>
      </c>
      <c r="H140" s="28">
        <v>0</v>
      </c>
      <c r="I140" s="28">
        <f>G140*AO140</f>
        <v>0</v>
      </c>
      <c r="J140" s="28">
        <f>G140*AP140</f>
        <v>0</v>
      </c>
      <c r="K140" s="28">
        <f>G140*H140</f>
        <v>0</v>
      </c>
      <c r="L140" s="28">
        <v>0</v>
      </c>
      <c r="M140" s="28">
        <f>G140*L140</f>
        <v>0</v>
      </c>
      <c r="N140" s="45" t="s">
        <v>484</v>
      </c>
      <c r="O140" s="6"/>
      <c r="Z140" s="51">
        <f>IF(AQ140="5",BJ140,0)</f>
        <v>0</v>
      </c>
      <c r="AB140" s="51">
        <f>IF(AQ140="1",BH140,0)</f>
        <v>0</v>
      </c>
      <c r="AC140" s="51">
        <f>IF(AQ140="1",BI140,0)</f>
        <v>0</v>
      </c>
      <c r="AD140" s="51">
        <f>IF(AQ140="7",BH140,0)</f>
        <v>0</v>
      </c>
      <c r="AE140" s="51">
        <f>IF(AQ140="7",BI140,0)</f>
        <v>0</v>
      </c>
      <c r="AF140" s="51">
        <f>IF(AQ140="2",BH140,0)</f>
        <v>0</v>
      </c>
      <c r="AG140" s="51">
        <f>IF(AQ140="2",BI140,0)</f>
        <v>0</v>
      </c>
      <c r="AH140" s="51">
        <f>IF(AQ140="0",BJ140,0)</f>
        <v>0</v>
      </c>
      <c r="AI140" s="39" t="s">
        <v>134</v>
      </c>
      <c r="AJ140" s="28">
        <f>IF(AN140=0,K140,0)</f>
        <v>0</v>
      </c>
      <c r="AK140" s="28">
        <f>IF(AN140=15,K140,0)</f>
        <v>0</v>
      </c>
      <c r="AL140" s="28">
        <f>IF(AN140=21,K140,0)</f>
        <v>0</v>
      </c>
      <c r="AN140" s="51">
        <v>21</v>
      </c>
      <c r="AO140" s="51">
        <f>H140*0.288356164383562</f>
        <v>0</v>
      </c>
      <c r="AP140" s="51">
        <f>H140*(1-0.288356164383562)</f>
        <v>0</v>
      </c>
      <c r="AQ140" s="52" t="s">
        <v>7</v>
      </c>
      <c r="AV140" s="51">
        <f>AW140+AX140</f>
        <v>0</v>
      </c>
      <c r="AW140" s="51">
        <f>G140*AO140</f>
        <v>0</v>
      </c>
      <c r="AX140" s="51">
        <f>G140*AP140</f>
        <v>0</v>
      </c>
      <c r="AY140" s="54" t="s">
        <v>518</v>
      </c>
      <c r="AZ140" s="54" t="s">
        <v>538</v>
      </c>
      <c r="BA140" s="39" t="s">
        <v>553</v>
      </c>
      <c r="BC140" s="51">
        <f>AW140+AX140</f>
        <v>0</v>
      </c>
      <c r="BD140" s="51">
        <f>H140/(100-BE140)*100</f>
        <v>0</v>
      </c>
      <c r="BE140" s="51">
        <v>0</v>
      </c>
      <c r="BF140" s="51">
        <f>M140</f>
        <v>0</v>
      </c>
      <c r="BH140" s="28">
        <f>G140*AO140</f>
        <v>0</v>
      </c>
      <c r="BI140" s="28">
        <f>G140*AP140</f>
        <v>0</v>
      </c>
      <c r="BJ140" s="28">
        <f>G140*H140</f>
        <v>0</v>
      </c>
      <c r="BK140" s="28" t="s">
        <v>561</v>
      </c>
      <c r="BL140" s="51">
        <v>89</v>
      </c>
    </row>
    <row r="141" spans="1:64" ht="12.75">
      <c r="A141" s="5" t="s">
        <v>81</v>
      </c>
      <c r="B141" s="16" t="s">
        <v>134</v>
      </c>
      <c r="C141" s="16" t="s">
        <v>215</v>
      </c>
      <c r="D141" s="161" t="s">
        <v>376</v>
      </c>
      <c r="E141" s="162"/>
      <c r="F141" s="16" t="s">
        <v>461</v>
      </c>
      <c r="G141" s="28">
        <v>180</v>
      </c>
      <c r="H141" s="28">
        <v>0</v>
      </c>
      <c r="I141" s="28">
        <f>G141*AO141</f>
        <v>0</v>
      </c>
      <c r="J141" s="28">
        <f>G141*AP141</f>
        <v>0</v>
      </c>
      <c r="K141" s="28">
        <f>G141*H141</f>
        <v>0</v>
      </c>
      <c r="L141" s="28">
        <v>2E-05</v>
      </c>
      <c r="M141" s="28">
        <f>G141*L141</f>
        <v>0.0036000000000000003</v>
      </c>
      <c r="N141" s="45" t="s">
        <v>484</v>
      </c>
      <c r="O141" s="6"/>
      <c r="Z141" s="51">
        <f>IF(AQ141="5",BJ141,0)</f>
        <v>0</v>
      </c>
      <c r="AB141" s="51">
        <f>IF(AQ141="1",BH141,0)</f>
        <v>0</v>
      </c>
      <c r="AC141" s="51">
        <f>IF(AQ141="1",BI141,0)</f>
        <v>0</v>
      </c>
      <c r="AD141" s="51">
        <f>IF(AQ141="7",BH141,0)</f>
        <v>0</v>
      </c>
      <c r="AE141" s="51">
        <f>IF(AQ141="7",BI141,0)</f>
        <v>0</v>
      </c>
      <c r="AF141" s="51">
        <f>IF(AQ141="2",BH141,0)</f>
        <v>0</v>
      </c>
      <c r="AG141" s="51">
        <f>IF(AQ141="2",BI141,0)</f>
        <v>0</v>
      </c>
      <c r="AH141" s="51">
        <f>IF(AQ141="0",BJ141,0)</f>
        <v>0</v>
      </c>
      <c r="AI141" s="39" t="s">
        <v>134</v>
      </c>
      <c r="AJ141" s="28">
        <f>IF(AN141=0,K141,0)</f>
        <v>0</v>
      </c>
      <c r="AK141" s="28">
        <f>IF(AN141=15,K141,0)</f>
        <v>0</v>
      </c>
      <c r="AL141" s="28">
        <f>IF(AN141=21,K141,0)</f>
        <v>0</v>
      </c>
      <c r="AN141" s="51">
        <v>21</v>
      </c>
      <c r="AO141" s="51">
        <f>H141*0.289005235602094</f>
        <v>0</v>
      </c>
      <c r="AP141" s="51">
        <f>H141*(1-0.289005235602094)</f>
        <v>0</v>
      </c>
      <c r="AQ141" s="52" t="s">
        <v>7</v>
      </c>
      <c r="AV141" s="51">
        <f>AW141+AX141</f>
        <v>0</v>
      </c>
      <c r="AW141" s="51">
        <f>G141*AO141</f>
        <v>0</v>
      </c>
      <c r="AX141" s="51">
        <f>G141*AP141</f>
        <v>0</v>
      </c>
      <c r="AY141" s="54" t="s">
        <v>518</v>
      </c>
      <c r="AZ141" s="54" t="s">
        <v>538</v>
      </c>
      <c r="BA141" s="39" t="s">
        <v>553</v>
      </c>
      <c r="BC141" s="51">
        <f>AW141+AX141</f>
        <v>0</v>
      </c>
      <c r="BD141" s="51">
        <f>H141/(100-BE141)*100</f>
        <v>0</v>
      </c>
      <c r="BE141" s="51">
        <v>0</v>
      </c>
      <c r="BF141" s="51">
        <f>M141</f>
        <v>0.0036000000000000003</v>
      </c>
      <c r="BH141" s="28">
        <f>G141*AO141</f>
        <v>0</v>
      </c>
      <c r="BI141" s="28">
        <f>G141*AP141</f>
        <v>0</v>
      </c>
      <c r="BJ141" s="28">
        <f>G141*H141</f>
        <v>0</v>
      </c>
      <c r="BK141" s="28" t="s">
        <v>561</v>
      </c>
      <c r="BL141" s="51">
        <v>89</v>
      </c>
    </row>
    <row r="142" spans="1:47" ht="12.75">
      <c r="A142" s="4"/>
      <c r="B142" s="15" t="s">
        <v>134</v>
      </c>
      <c r="C142" s="15" t="s">
        <v>216</v>
      </c>
      <c r="D142" s="166" t="s">
        <v>377</v>
      </c>
      <c r="E142" s="167"/>
      <c r="F142" s="25" t="s">
        <v>6</v>
      </c>
      <c r="G142" s="25" t="s">
        <v>6</v>
      </c>
      <c r="H142" s="25" t="s">
        <v>6</v>
      </c>
      <c r="I142" s="57">
        <f>SUM(I143:I143)</f>
        <v>0</v>
      </c>
      <c r="J142" s="57">
        <f>SUM(J143:J143)</f>
        <v>0</v>
      </c>
      <c r="K142" s="57">
        <f>SUM(K143:K143)</f>
        <v>0</v>
      </c>
      <c r="L142" s="39"/>
      <c r="M142" s="57">
        <f>SUM(M143:M143)</f>
        <v>0</v>
      </c>
      <c r="N142" s="44"/>
      <c r="O142" s="6"/>
      <c r="AI142" s="39" t="s">
        <v>134</v>
      </c>
      <c r="AS142" s="57">
        <f>SUM(AJ143:AJ143)</f>
        <v>0</v>
      </c>
      <c r="AT142" s="57">
        <f>SUM(AK143:AK143)</f>
        <v>0</v>
      </c>
      <c r="AU142" s="57">
        <f>SUM(AL143:AL143)</f>
        <v>0</v>
      </c>
    </row>
    <row r="143" spans="1:64" ht="12.75">
      <c r="A143" s="5" t="s">
        <v>82</v>
      </c>
      <c r="B143" s="16" t="s">
        <v>134</v>
      </c>
      <c r="C143" s="16" t="s">
        <v>217</v>
      </c>
      <c r="D143" s="161" t="s">
        <v>378</v>
      </c>
      <c r="E143" s="162"/>
      <c r="F143" s="16" t="s">
        <v>462</v>
      </c>
      <c r="G143" s="28">
        <v>60.1055</v>
      </c>
      <c r="H143" s="28">
        <v>0</v>
      </c>
      <c r="I143" s="28">
        <f>G143*AO143</f>
        <v>0</v>
      </c>
      <c r="J143" s="28">
        <f>G143*AP143</f>
        <v>0</v>
      </c>
      <c r="K143" s="28">
        <f>G143*H143</f>
        <v>0</v>
      </c>
      <c r="L143" s="28">
        <v>0</v>
      </c>
      <c r="M143" s="28">
        <f>G143*L143</f>
        <v>0</v>
      </c>
      <c r="N143" s="45" t="s">
        <v>484</v>
      </c>
      <c r="O143" s="6"/>
      <c r="Z143" s="51">
        <f>IF(AQ143="5",BJ143,0)</f>
        <v>0</v>
      </c>
      <c r="AB143" s="51">
        <f>IF(AQ143="1",BH143,0)</f>
        <v>0</v>
      </c>
      <c r="AC143" s="51">
        <f>IF(AQ143="1",BI143,0)</f>
        <v>0</v>
      </c>
      <c r="AD143" s="51">
        <f>IF(AQ143="7",BH143,0)</f>
        <v>0</v>
      </c>
      <c r="AE143" s="51">
        <f>IF(AQ143="7",BI143,0)</f>
        <v>0</v>
      </c>
      <c r="AF143" s="51">
        <f>IF(AQ143="2",BH143,0)</f>
        <v>0</v>
      </c>
      <c r="AG143" s="51">
        <f>IF(AQ143="2",BI143,0)</f>
        <v>0</v>
      </c>
      <c r="AH143" s="51">
        <f>IF(AQ143="0",BJ143,0)</f>
        <v>0</v>
      </c>
      <c r="AI143" s="39" t="s">
        <v>134</v>
      </c>
      <c r="AJ143" s="28">
        <f>IF(AN143=0,K143,0)</f>
        <v>0</v>
      </c>
      <c r="AK143" s="28">
        <f>IF(AN143=15,K143,0)</f>
        <v>0</v>
      </c>
      <c r="AL143" s="28">
        <f>IF(AN143=21,K143,0)</f>
        <v>0</v>
      </c>
      <c r="AN143" s="51">
        <v>21</v>
      </c>
      <c r="AO143" s="51">
        <f>H143*0</f>
        <v>0</v>
      </c>
      <c r="AP143" s="51">
        <f>H143*(1-0)</f>
        <v>0</v>
      </c>
      <c r="AQ143" s="52" t="s">
        <v>11</v>
      </c>
      <c r="AV143" s="51">
        <f>AW143+AX143</f>
        <v>0</v>
      </c>
      <c r="AW143" s="51">
        <f>G143*AO143</f>
        <v>0</v>
      </c>
      <c r="AX143" s="51">
        <f>G143*AP143</f>
        <v>0</v>
      </c>
      <c r="AY143" s="54" t="s">
        <v>519</v>
      </c>
      <c r="AZ143" s="54" t="s">
        <v>539</v>
      </c>
      <c r="BA143" s="39" t="s">
        <v>553</v>
      </c>
      <c r="BC143" s="51">
        <f>AW143+AX143</f>
        <v>0</v>
      </c>
      <c r="BD143" s="51">
        <f>H143/(100-BE143)*100</f>
        <v>0</v>
      </c>
      <c r="BE143" s="51">
        <v>0</v>
      </c>
      <c r="BF143" s="51">
        <f>M143</f>
        <v>0</v>
      </c>
      <c r="BH143" s="28">
        <f>G143*AO143</f>
        <v>0</v>
      </c>
      <c r="BI143" s="28">
        <f>G143*AP143</f>
        <v>0</v>
      </c>
      <c r="BJ143" s="28">
        <f>G143*H143</f>
        <v>0</v>
      </c>
      <c r="BK143" s="28" t="s">
        <v>561</v>
      </c>
      <c r="BL143" s="51" t="s">
        <v>216</v>
      </c>
    </row>
    <row r="144" spans="1:15" ht="12.75">
      <c r="A144" s="7"/>
      <c r="B144" s="17" t="s">
        <v>135</v>
      </c>
      <c r="C144" s="17"/>
      <c r="D144" s="173" t="s">
        <v>379</v>
      </c>
      <c r="E144" s="174"/>
      <c r="F144" s="26" t="s">
        <v>6</v>
      </c>
      <c r="G144" s="26" t="s">
        <v>6</v>
      </c>
      <c r="H144" s="26" t="s">
        <v>6</v>
      </c>
      <c r="I144" s="58">
        <f>I145+I150+I156+I162+I165</f>
        <v>0</v>
      </c>
      <c r="J144" s="58">
        <f>J145+J150+J156+J162+J165</f>
        <v>0</v>
      </c>
      <c r="K144" s="58">
        <f>K145+K150+K156+K162+K165</f>
        <v>0</v>
      </c>
      <c r="L144" s="40"/>
      <c r="M144" s="58">
        <f>M145+M150+M156+M162+M165</f>
        <v>17.396919999999998</v>
      </c>
      <c r="N144" s="46"/>
      <c r="O144" s="6"/>
    </row>
    <row r="145" spans="1:47" ht="12.75">
      <c r="A145" s="4"/>
      <c r="B145" s="15" t="s">
        <v>135</v>
      </c>
      <c r="C145" s="15" t="s">
        <v>19</v>
      </c>
      <c r="D145" s="166" t="s">
        <v>310</v>
      </c>
      <c r="E145" s="167"/>
      <c r="F145" s="25" t="s">
        <v>6</v>
      </c>
      <c r="G145" s="25" t="s">
        <v>6</v>
      </c>
      <c r="H145" s="25" t="s">
        <v>6</v>
      </c>
      <c r="I145" s="57">
        <f>SUM(I146:I148)</f>
        <v>0</v>
      </c>
      <c r="J145" s="57">
        <f>SUM(J146:J148)</f>
        <v>0</v>
      </c>
      <c r="K145" s="57">
        <f>SUM(K146:K148)</f>
        <v>0</v>
      </c>
      <c r="L145" s="39"/>
      <c r="M145" s="57">
        <f>SUM(M146:M148)</f>
        <v>0</v>
      </c>
      <c r="N145" s="44"/>
      <c r="O145" s="6"/>
      <c r="AI145" s="39" t="s">
        <v>135</v>
      </c>
      <c r="AS145" s="57">
        <f>SUM(AJ146:AJ148)</f>
        <v>0</v>
      </c>
      <c r="AT145" s="57">
        <f>SUM(AK146:AK148)</f>
        <v>0</v>
      </c>
      <c r="AU145" s="57">
        <f>SUM(AL146:AL148)</f>
        <v>0</v>
      </c>
    </row>
    <row r="146" spans="1:64" ht="12.75">
      <c r="A146" s="5" t="s">
        <v>83</v>
      </c>
      <c r="B146" s="16" t="s">
        <v>135</v>
      </c>
      <c r="C146" s="16" t="s">
        <v>218</v>
      </c>
      <c r="D146" s="161" t="s">
        <v>380</v>
      </c>
      <c r="E146" s="162"/>
      <c r="F146" s="16" t="s">
        <v>459</v>
      </c>
      <c r="G146" s="28">
        <v>3.3</v>
      </c>
      <c r="H146" s="28">
        <v>0</v>
      </c>
      <c r="I146" s="28">
        <f>G146*AO146</f>
        <v>0</v>
      </c>
      <c r="J146" s="28">
        <f>G146*AP146</f>
        <v>0</v>
      </c>
      <c r="K146" s="28">
        <f>G146*H146</f>
        <v>0</v>
      </c>
      <c r="L146" s="28">
        <v>0</v>
      </c>
      <c r="M146" s="28">
        <f>G146*L146</f>
        <v>0</v>
      </c>
      <c r="N146" s="45" t="s">
        <v>484</v>
      </c>
      <c r="O146" s="6"/>
      <c r="Z146" s="51">
        <f>IF(AQ146="5",BJ146,0)</f>
        <v>0</v>
      </c>
      <c r="AB146" s="51">
        <f>IF(AQ146="1",BH146,0)</f>
        <v>0</v>
      </c>
      <c r="AC146" s="51">
        <f>IF(AQ146="1",BI146,0)</f>
        <v>0</v>
      </c>
      <c r="AD146" s="51">
        <f>IF(AQ146="7",BH146,0)</f>
        <v>0</v>
      </c>
      <c r="AE146" s="51">
        <f>IF(AQ146="7",BI146,0)</f>
        <v>0</v>
      </c>
      <c r="AF146" s="51">
        <f>IF(AQ146="2",BH146,0)</f>
        <v>0</v>
      </c>
      <c r="AG146" s="51">
        <f>IF(AQ146="2",BI146,0)</f>
        <v>0</v>
      </c>
      <c r="AH146" s="51">
        <f>IF(AQ146="0",BJ146,0)</f>
        <v>0</v>
      </c>
      <c r="AI146" s="39" t="s">
        <v>135</v>
      </c>
      <c r="AJ146" s="28">
        <f>IF(AN146=0,K146,0)</f>
        <v>0</v>
      </c>
      <c r="AK146" s="28">
        <f>IF(AN146=15,K146,0)</f>
        <v>0</v>
      </c>
      <c r="AL146" s="28">
        <f>IF(AN146=21,K146,0)</f>
        <v>0</v>
      </c>
      <c r="AN146" s="51">
        <v>21</v>
      </c>
      <c r="AO146" s="51">
        <f>H146*0</f>
        <v>0</v>
      </c>
      <c r="AP146" s="51">
        <f>H146*(1-0)</f>
        <v>0</v>
      </c>
      <c r="AQ146" s="52" t="s">
        <v>7</v>
      </c>
      <c r="AV146" s="51">
        <f>AW146+AX146</f>
        <v>0</v>
      </c>
      <c r="AW146" s="51">
        <f>G146*AO146</f>
        <v>0</v>
      </c>
      <c r="AX146" s="51">
        <f>G146*AP146</f>
        <v>0</v>
      </c>
      <c r="AY146" s="54" t="s">
        <v>512</v>
      </c>
      <c r="AZ146" s="54" t="s">
        <v>540</v>
      </c>
      <c r="BA146" s="39" t="s">
        <v>554</v>
      </c>
      <c r="BC146" s="51">
        <f>AW146+AX146</f>
        <v>0</v>
      </c>
      <c r="BD146" s="51">
        <f>H146/(100-BE146)*100</f>
        <v>0</v>
      </c>
      <c r="BE146" s="51">
        <v>0</v>
      </c>
      <c r="BF146" s="51">
        <f>M146</f>
        <v>0</v>
      </c>
      <c r="BH146" s="28">
        <f>G146*AO146</f>
        <v>0</v>
      </c>
      <c r="BI146" s="28">
        <f>G146*AP146</f>
        <v>0</v>
      </c>
      <c r="BJ146" s="28">
        <f>G146*H146</f>
        <v>0</v>
      </c>
      <c r="BK146" s="28" t="s">
        <v>561</v>
      </c>
      <c r="BL146" s="51">
        <v>13</v>
      </c>
    </row>
    <row r="147" spans="1:15" ht="12.75">
      <c r="A147" s="6"/>
      <c r="D147" s="21" t="s">
        <v>381</v>
      </c>
      <c r="E147" s="22"/>
      <c r="G147" s="29">
        <v>3.3</v>
      </c>
      <c r="N147" s="47"/>
      <c r="O147" s="6"/>
    </row>
    <row r="148" spans="1:64" ht="12.75">
      <c r="A148" s="5" t="s">
        <v>84</v>
      </c>
      <c r="B148" s="16" t="s">
        <v>135</v>
      </c>
      <c r="C148" s="16" t="s">
        <v>176</v>
      </c>
      <c r="D148" s="161" t="s">
        <v>323</v>
      </c>
      <c r="E148" s="162"/>
      <c r="F148" s="16" t="s">
        <v>459</v>
      </c>
      <c r="G148" s="28">
        <v>22.5</v>
      </c>
      <c r="H148" s="28">
        <v>0</v>
      </c>
      <c r="I148" s="28">
        <f>G148*AO148</f>
        <v>0</v>
      </c>
      <c r="J148" s="28">
        <f>G148*AP148</f>
        <v>0</v>
      </c>
      <c r="K148" s="28">
        <f>G148*H148</f>
        <v>0</v>
      </c>
      <c r="L148" s="28">
        <v>0</v>
      </c>
      <c r="M148" s="28">
        <f>G148*L148</f>
        <v>0</v>
      </c>
      <c r="N148" s="45" t="s">
        <v>484</v>
      </c>
      <c r="O148" s="6"/>
      <c r="Z148" s="51">
        <f>IF(AQ148="5",BJ148,0)</f>
        <v>0</v>
      </c>
      <c r="AB148" s="51">
        <f>IF(AQ148="1",BH148,0)</f>
        <v>0</v>
      </c>
      <c r="AC148" s="51">
        <f>IF(AQ148="1",BI148,0)</f>
        <v>0</v>
      </c>
      <c r="AD148" s="51">
        <f>IF(AQ148="7",BH148,0)</f>
        <v>0</v>
      </c>
      <c r="AE148" s="51">
        <f>IF(AQ148="7",BI148,0)</f>
        <v>0</v>
      </c>
      <c r="AF148" s="51">
        <f>IF(AQ148="2",BH148,0)</f>
        <v>0</v>
      </c>
      <c r="AG148" s="51">
        <f>IF(AQ148="2",BI148,0)</f>
        <v>0</v>
      </c>
      <c r="AH148" s="51">
        <f>IF(AQ148="0",BJ148,0)</f>
        <v>0</v>
      </c>
      <c r="AI148" s="39" t="s">
        <v>135</v>
      </c>
      <c r="AJ148" s="28">
        <f>IF(AN148=0,K148,0)</f>
        <v>0</v>
      </c>
      <c r="AK148" s="28">
        <f>IF(AN148=15,K148,0)</f>
        <v>0</v>
      </c>
      <c r="AL148" s="28">
        <f>IF(AN148=21,K148,0)</f>
        <v>0</v>
      </c>
      <c r="AN148" s="51">
        <v>21</v>
      </c>
      <c r="AO148" s="51">
        <f>H148*0</f>
        <v>0</v>
      </c>
      <c r="AP148" s="51">
        <f>H148*(1-0)</f>
        <v>0</v>
      </c>
      <c r="AQ148" s="52" t="s">
        <v>7</v>
      </c>
      <c r="AV148" s="51">
        <f>AW148+AX148</f>
        <v>0</v>
      </c>
      <c r="AW148" s="51">
        <f>G148*AO148</f>
        <v>0</v>
      </c>
      <c r="AX148" s="51">
        <f>G148*AP148</f>
        <v>0</v>
      </c>
      <c r="AY148" s="54" t="s">
        <v>512</v>
      </c>
      <c r="AZ148" s="54" t="s">
        <v>540</v>
      </c>
      <c r="BA148" s="39" t="s">
        <v>554</v>
      </c>
      <c r="BC148" s="51">
        <f>AW148+AX148</f>
        <v>0</v>
      </c>
      <c r="BD148" s="51">
        <f>H148/(100-BE148)*100</f>
        <v>0</v>
      </c>
      <c r="BE148" s="51">
        <v>0</v>
      </c>
      <c r="BF148" s="51">
        <f>M148</f>
        <v>0</v>
      </c>
      <c r="BH148" s="28">
        <f>G148*AO148</f>
        <v>0</v>
      </c>
      <c r="BI148" s="28">
        <f>G148*AP148</f>
        <v>0</v>
      </c>
      <c r="BJ148" s="28">
        <f>G148*H148</f>
        <v>0</v>
      </c>
      <c r="BK148" s="28" t="s">
        <v>561</v>
      </c>
      <c r="BL148" s="51">
        <v>13</v>
      </c>
    </row>
    <row r="149" spans="1:15" ht="12.75">
      <c r="A149" s="6"/>
      <c r="D149" s="21" t="s">
        <v>382</v>
      </c>
      <c r="E149" s="22"/>
      <c r="G149" s="29">
        <v>22.5</v>
      </c>
      <c r="N149" s="47"/>
      <c r="O149" s="6"/>
    </row>
    <row r="150" spans="1:47" ht="12.75">
      <c r="A150" s="4"/>
      <c r="B150" s="15" t="s">
        <v>135</v>
      </c>
      <c r="C150" s="15" t="s">
        <v>22</v>
      </c>
      <c r="D150" s="166" t="s">
        <v>272</v>
      </c>
      <c r="E150" s="167"/>
      <c r="F150" s="25" t="s">
        <v>6</v>
      </c>
      <c r="G150" s="25" t="s">
        <v>6</v>
      </c>
      <c r="H150" s="25" t="s">
        <v>6</v>
      </c>
      <c r="I150" s="57">
        <f>SUM(I151:I153)</f>
        <v>0</v>
      </c>
      <c r="J150" s="57">
        <f>SUM(J151:J153)</f>
        <v>0</v>
      </c>
      <c r="K150" s="57">
        <f>SUM(K151:K153)</f>
        <v>0</v>
      </c>
      <c r="L150" s="39"/>
      <c r="M150" s="57">
        <f>SUM(M151:M153)</f>
        <v>0</v>
      </c>
      <c r="N150" s="44"/>
      <c r="O150" s="6"/>
      <c r="AI150" s="39" t="s">
        <v>135</v>
      </c>
      <c r="AS150" s="57">
        <f>SUM(AJ151:AJ153)</f>
        <v>0</v>
      </c>
      <c r="AT150" s="57">
        <f>SUM(AK151:AK153)</f>
        <v>0</v>
      </c>
      <c r="AU150" s="57">
        <f>SUM(AL151:AL153)</f>
        <v>0</v>
      </c>
    </row>
    <row r="151" spans="1:64" ht="12.75">
      <c r="A151" s="5" t="s">
        <v>85</v>
      </c>
      <c r="B151" s="16" t="s">
        <v>135</v>
      </c>
      <c r="C151" s="16" t="s">
        <v>148</v>
      </c>
      <c r="D151" s="161" t="s">
        <v>274</v>
      </c>
      <c r="E151" s="162"/>
      <c r="F151" s="16" t="s">
        <v>459</v>
      </c>
      <c r="G151" s="28">
        <v>23.7</v>
      </c>
      <c r="H151" s="28">
        <v>0</v>
      </c>
      <c r="I151" s="28">
        <f>G151*AO151</f>
        <v>0</v>
      </c>
      <c r="J151" s="28">
        <f>G151*AP151</f>
        <v>0</v>
      </c>
      <c r="K151" s="28">
        <f>G151*H151</f>
        <v>0</v>
      </c>
      <c r="L151" s="28">
        <v>0</v>
      </c>
      <c r="M151" s="28">
        <f>G151*L151</f>
        <v>0</v>
      </c>
      <c r="N151" s="45" t="s">
        <v>484</v>
      </c>
      <c r="O151" s="6"/>
      <c r="Z151" s="51">
        <f>IF(AQ151="5",BJ151,0)</f>
        <v>0</v>
      </c>
      <c r="AB151" s="51">
        <f>IF(AQ151="1",BH151,0)</f>
        <v>0</v>
      </c>
      <c r="AC151" s="51">
        <f>IF(AQ151="1",BI151,0)</f>
        <v>0</v>
      </c>
      <c r="AD151" s="51">
        <f>IF(AQ151="7",BH151,0)</f>
        <v>0</v>
      </c>
      <c r="AE151" s="51">
        <f>IF(AQ151="7",BI151,0)</f>
        <v>0</v>
      </c>
      <c r="AF151" s="51">
        <f>IF(AQ151="2",BH151,0)</f>
        <v>0</v>
      </c>
      <c r="AG151" s="51">
        <f>IF(AQ151="2",BI151,0)</f>
        <v>0</v>
      </c>
      <c r="AH151" s="51">
        <f>IF(AQ151="0",BJ151,0)</f>
        <v>0</v>
      </c>
      <c r="AI151" s="39" t="s">
        <v>135</v>
      </c>
      <c r="AJ151" s="28">
        <f>IF(AN151=0,K151,0)</f>
        <v>0</v>
      </c>
      <c r="AK151" s="28">
        <f>IF(AN151=15,K151,0)</f>
        <v>0</v>
      </c>
      <c r="AL151" s="28">
        <f>IF(AN151=21,K151,0)</f>
        <v>0</v>
      </c>
      <c r="AN151" s="51">
        <v>21</v>
      </c>
      <c r="AO151" s="51">
        <f>H151*0</f>
        <v>0</v>
      </c>
      <c r="AP151" s="51">
        <f>H151*(1-0)</f>
        <v>0</v>
      </c>
      <c r="AQ151" s="52" t="s">
        <v>7</v>
      </c>
      <c r="AV151" s="51">
        <f>AW151+AX151</f>
        <v>0</v>
      </c>
      <c r="AW151" s="51">
        <f>G151*AO151</f>
        <v>0</v>
      </c>
      <c r="AX151" s="51">
        <f>G151*AP151</f>
        <v>0</v>
      </c>
      <c r="AY151" s="54" t="s">
        <v>503</v>
      </c>
      <c r="AZ151" s="54" t="s">
        <v>540</v>
      </c>
      <c r="BA151" s="39" t="s">
        <v>554</v>
      </c>
      <c r="BC151" s="51">
        <f>AW151+AX151</f>
        <v>0</v>
      </c>
      <c r="BD151" s="51">
        <f>H151/(100-BE151)*100</f>
        <v>0</v>
      </c>
      <c r="BE151" s="51">
        <v>0</v>
      </c>
      <c r="BF151" s="51">
        <f>M151</f>
        <v>0</v>
      </c>
      <c r="BH151" s="28">
        <f>G151*AO151</f>
        <v>0</v>
      </c>
      <c r="BI151" s="28">
        <f>G151*AP151</f>
        <v>0</v>
      </c>
      <c r="BJ151" s="28">
        <f>G151*H151</f>
        <v>0</v>
      </c>
      <c r="BK151" s="28" t="s">
        <v>561</v>
      </c>
      <c r="BL151" s="51">
        <v>16</v>
      </c>
    </row>
    <row r="152" spans="1:15" ht="12.75">
      <c r="A152" s="6"/>
      <c r="D152" s="21" t="s">
        <v>383</v>
      </c>
      <c r="E152" s="22"/>
      <c r="G152" s="29">
        <v>23.7</v>
      </c>
      <c r="N152" s="47"/>
      <c r="O152" s="6"/>
    </row>
    <row r="153" spans="1:64" ht="12.75">
      <c r="A153" s="5" t="s">
        <v>86</v>
      </c>
      <c r="B153" s="16" t="s">
        <v>135</v>
      </c>
      <c r="C153" s="16" t="s">
        <v>219</v>
      </c>
      <c r="D153" s="161" t="s">
        <v>276</v>
      </c>
      <c r="E153" s="162"/>
      <c r="F153" s="16" t="s">
        <v>459</v>
      </c>
      <c r="G153" s="28">
        <v>118.5</v>
      </c>
      <c r="H153" s="28">
        <v>0</v>
      </c>
      <c r="I153" s="28">
        <f>G153*AO153</f>
        <v>0</v>
      </c>
      <c r="J153" s="28">
        <f>G153*AP153</f>
        <v>0</v>
      </c>
      <c r="K153" s="28">
        <f>G153*H153</f>
        <v>0</v>
      </c>
      <c r="L153" s="28">
        <v>0</v>
      </c>
      <c r="M153" s="28">
        <f>G153*L153</f>
        <v>0</v>
      </c>
      <c r="N153" s="45" t="s">
        <v>484</v>
      </c>
      <c r="O153" s="6"/>
      <c r="Z153" s="51">
        <f>IF(AQ153="5",BJ153,0)</f>
        <v>0</v>
      </c>
      <c r="AB153" s="51">
        <f>IF(AQ153="1",BH153,0)</f>
        <v>0</v>
      </c>
      <c r="AC153" s="51">
        <f>IF(AQ153="1",BI153,0)</f>
        <v>0</v>
      </c>
      <c r="AD153" s="51">
        <f>IF(AQ153="7",BH153,0)</f>
        <v>0</v>
      </c>
      <c r="AE153" s="51">
        <f>IF(AQ153="7",BI153,0)</f>
        <v>0</v>
      </c>
      <c r="AF153" s="51">
        <f>IF(AQ153="2",BH153,0)</f>
        <v>0</v>
      </c>
      <c r="AG153" s="51">
        <f>IF(AQ153="2",BI153,0)</f>
        <v>0</v>
      </c>
      <c r="AH153" s="51">
        <f>IF(AQ153="0",BJ153,0)</f>
        <v>0</v>
      </c>
      <c r="AI153" s="39" t="s">
        <v>135</v>
      </c>
      <c r="AJ153" s="28">
        <f>IF(AN153=0,K153,0)</f>
        <v>0</v>
      </c>
      <c r="AK153" s="28">
        <f>IF(AN153=15,K153,0)</f>
        <v>0</v>
      </c>
      <c r="AL153" s="28">
        <f>IF(AN153=21,K153,0)</f>
        <v>0</v>
      </c>
      <c r="AN153" s="51">
        <v>21</v>
      </c>
      <c r="AO153" s="51">
        <f>H153*0</f>
        <v>0</v>
      </c>
      <c r="AP153" s="51">
        <f>H153*(1-0)</f>
        <v>0</v>
      </c>
      <c r="AQ153" s="52" t="s">
        <v>7</v>
      </c>
      <c r="AV153" s="51">
        <f>AW153+AX153</f>
        <v>0</v>
      </c>
      <c r="AW153" s="51">
        <f>G153*AO153</f>
        <v>0</v>
      </c>
      <c r="AX153" s="51">
        <f>G153*AP153</f>
        <v>0</v>
      </c>
      <c r="AY153" s="54" t="s">
        <v>503</v>
      </c>
      <c r="AZ153" s="54" t="s">
        <v>540</v>
      </c>
      <c r="BA153" s="39" t="s">
        <v>554</v>
      </c>
      <c r="BC153" s="51">
        <f>AW153+AX153</f>
        <v>0</v>
      </c>
      <c r="BD153" s="51">
        <f>H153/(100-BE153)*100</f>
        <v>0</v>
      </c>
      <c r="BE153" s="51">
        <v>0</v>
      </c>
      <c r="BF153" s="51">
        <f>M153</f>
        <v>0</v>
      </c>
      <c r="BH153" s="28">
        <f>G153*AO153</f>
        <v>0</v>
      </c>
      <c r="BI153" s="28">
        <f>G153*AP153</f>
        <v>0</v>
      </c>
      <c r="BJ153" s="28">
        <f>G153*H153</f>
        <v>0</v>
      </c>
      <c r="BK153" s="28" t="s">
        <v>561</v>
      </c>
      <c r="BL153" s="51">
        <v>16</v>
      </c>
    </row>
    <row r="154" spans="1:15" ht="12.75">
      <c r="A154" s="6"/>
      <c r="C154" s="20" t="s">
        <v>141</v>
      </c>
      <c r="D154" s="163" t="s">
        <v>384</v>
      </c>
      <c r="E154" s="164"/>
      <c r="F154" s="164"/>
      <c r="G154" s="164"/>
      <c r="H154" s="164"/>
      <c r="I154" s="164"/>
      <c r="J154" s="164"/>
      <c r="K154" s="164"/>
      <c r="L154" s="164"/>
      <c r="M154" s="164"/>
      <c r="N154" s="165"/>
      <c r="O154" s="6"/>
    </row>
    <row r="155" spans="1:15" ht="12.75">
      <c r="A155" s="6"/>
      <c r="D155" s="21" t="s">
        <v>385</v>
      </c>
      <c r="E155" s="22"/>
      <c r="G155" s="29">
        <v>118.5</v>
      </c>
      <c r="N155" s="47"/>
      <c r="O155" s="6"/>
    </row>
    <row r="156" spans="1:47" ht="12.75">
      <c r="A156" s="4"/>
      <c r="B156" s="15" t="s">
        <v>135</v>
      </c>
      <c r="C156" s="15" t="s">
        <v>23</v>
      </c>
      <c r="D156" s="166" t="s">
        <v>278</v>
      </c>
      <c r="E156" s="167"/>
      <c r="F156" s="25" t="s">
        <v>6</v>
      </c>
      <c r="G156" s="25" t="s">
        <v>6</v>
      </c>
      <c r="H156" s="25" t="s">
        <v>6</v>
      </c>
      <c r="I156" s="57">
        <f>SUM(I157:I159)</f>
        <v>0</v>
      </c>
      <c r="J156" s="57">
        <f>SUM(J157:J159)</f>
        <v>0</v>
      </c>
      <c r="K156" s="57">
        <f>SUM(K157:K159)</f>
        <v>0</v>
      </c>
      <c r="L156" s="39"/>
      <c r="M156" s="57">
        <f>SUM(M157:M159)</f>
        <v>1.53</v>
      </c>
      <c r="N156" s="44"/>
      <c r="O156" s="6"/>
      <c r="AI156" s="39" t="s">
        <v>135</v>
      </c>
      <c r="AS156" s="57">
        <f>SUM(AJ157:AJ159)</f>
        <v>0</v>
      </c>
      <c r="AT156" s="57">
        <f>SUM(AK157:AK159)</f>
        <v>0</v>
      </c>
      <c r="AU156" s="57">
        <f>SUM(AL157:AL159)</f>
        <v>0</v>
      </c>
    </row>
    <row r="157" spans="1:64" ht="12.75">
      <c r="A157" s="5" t="s">
        <v>87</v>
      </c>
      <c r="B157" s="16" t="s">
        <v>135</v>
      </c>
      <c r="C157" s="16" t="s">
        <v>179</v>
      </c>
      <c r="D157" s="161" t="s">
        <v>332</v>
      </c>
      <c r="E157" s="162"/>
      <c r="F157" s="16" t="s">
        <v>459</v>
      </c>
      <c r="G157" s="28">
        <v>2.1</v>
      </c>
      <c r="H157" s="28">
        <v>0</v>
      </c>
      <c r="I157" s="28">
        <f>G157*AO157</f>
        <v>0</v>
      </c>
      <c r="J157" s="28">
        <f>G157*AP157</f>
        <v>0</v>
      </c>
      <c r="K157" s="28">
        <f>G157*H157</f>
        <v>0</v>
      </c>
      <c r="L157" s="28">
        <v>0</v>
      </c>
      <c r="M157" s="28">
        <f>G157*L157</f>
        <v>0</v>
      </c>
      <c r="N157" s="45" t="s">
        <v>484</v>
      </c>
      <c r="O157" s="6"/>
      <c r="Z157" s="51">
        <f>IF(AQ157="5",BJ157,0)</f>
        <v>0</v>
      </c>
      <c r="AB157" s="51">
        <f>IF(AQ157="1",BH157,0)</f>
        <v>0</v>
      </c>
      <c r="AC157" s="51">
        <f>IF(AQ157="1",BI157,0)</f>
        <v>0</v>
      </c>
      <c r="AD157" s="51">
        <f>IF(AQ157="7",BH157,0)</f>
        <v>0</v>
      </c>
      <c r="AE157" s="51">
        <f>IF(AQ157="7",BI157,0)</f>
        <v>0</v>
      </c>
      <c r="AF157" s="51">
        <f>IF(AQ157="2",BH157,0)</f>
        <v>0</v>
      </c>
      <c r="AG157" s="51">
        <f>IF(AQ157="2",BI157,0)</f>
        <v>0</v>
      </c>
      <c r="AH157" s="51">
        <f>IF(AQ157="0",BJ157,0)</f>
        <v>0</v>
      </c>
      <c r="AI157" s="39" t="s">
        <v>135</v>
      </c>
      <c r="AJ157" s="28">
        <f>IF(AN157=0,K157,0)</f>
        <v>0</v>
      </c>
      <c r="AK157" s="28">
        <f>IF(AN157=15,K157,0)</f>
        <v>0</v>
      </c>
      <c r="AL157" s="28">
        <f>IF(AN157=21,K157,0)</f>
        <v>0</v>
      </c>
      <c r="AN157" s="51">
        <v>21</v>
      </c>
      <c r="AO157" s="51">
        <f>H157*0</f>
        <v>0</v>
      </c>
      <c r="AP157" s="51">
        <f>H157*(1-0)</f>
        <v>0</v>
      </c>
      <c r="AQ157" s="52" t="s">
        <v>7</v>
      </c>
      <c r="AV157" s="51">
        <f>AW157+AX157</f>
        <v>0</v>
      </c>
      <c r="AW157" s="51">
        <f>G157*AO157</f>
        <v>0</v>
      </c>
      <c r="AX157" s="51">
        <f>G157*AP157</f>
        <v>0</v>
      </c>
      <c r="AY157" s="54" t="s">
        <v>504</v>
      </c>
      <c r="AZ157" s="54" t="s">
        <v>540</v>
      </c>
      <c r="BA157" s="39" t="s">
        <v>554</v>
      </c>
      <c r="BC157" s="51">
        <f>AW157+AX157</f>
        <v>0</v>
      </c>
      <c r="BD157" s="51">
        <f>H157/(100-BE157)*100</f>
        <v>0</v>
      </c>
      <c r="BE157" s="51">
        <v>0</v>
      </c>
      <c r="BF157" s="51">
        <f>M157</f>
        <v>0</v>
      </c>
      <c r="BH157" s="28">
        <f>G157*AO157</f>
        <v>0</v>
      </c>
      <c r="BI157" s="28">
        <f>G157*AP157</f>
        <v>0</v>
      </c>
      <c r="BJ157" s="28">
        <f>G157*H157</f>
        <v>0</v>
      </c>
      <c r="BK157" s="28" t="s">
        <v>561</v>
      </c>
      <c r="BL157" s="51">
        <v>17</v>
      </c>
    </row>
    <row r="158" spans="1:15" ht="12.75">
      <c r="A158" s="6"/>
      <c r="D158" s="21" t="s">
        <v>386</v>
      </c>
      <c r="E158" s="22"/>
      <c r="G158" s="29">
        <v>2.1</v>
      </c>
      <c r="N158" s="47"/>
      <c r="O158" s="6"/>
    </row>
    <row r="159" spans="1:64" ht="12.75">
      <c r="A159" s="5" t="s">
        <v>88</v>
      </c>
      <c r="B159" s="16" t="s">
        <v>135</v>
      </c>
      <c r="C159" s="16" t="s">
        <v>178</v>
      </c>
      <c r="D159" s="161" t="s">
        <v>329</v>
      </c>
      <c r="E159" s="162"/>
      <c r="F159" s="16" t="s">
        <v>459</v>
      </c>
      <c r="G159" s="28">
        <v>0.9</v>
      </c>
      <c r="H159" s="28">
        <v>0</v>
      </c>
      <c r="I159" s="28">
        <f>G159*AO159</f>
        <v>0</v>
      </c>
      <c r="J159" s="28">
        <f>G159*AP159</f>
        <v>0</v>
      </c>
      <c r="K159" s="28">
        <f>G159*H159</f>
        <v>0</v>
      </c>
      <c r="L159" s="28">
        <v>1.7</v>
      </c>
      <c r="M159" s="28">
        <f>G159*L159</f>
        <v>1.53</v>
      </c>
      <c r="N159" s="45" t="s">
        <v>484</v>
      </c>
      <c r="O159" s="6"/>
      <c r="Z159" s="51">
        <f>IF(AQ159="5",BJ159,0)</f>
        <v>0</v>
      </c>
      <c r="AB159" s="51">
        <f>IF(AQ159="1",BH159,0)</f>
        <v>0</v>
      </c>
      <c r="AC159" s="51">
        <f>IF(AQ159="1",BI159,0)</f>
        <v>0</v>
      </c>
      <c r="AD159" s="51">
        <f>IF(AQ159="7",BH159,0)</f>
        <v>0</v>
      </c>
      <c r="AE159" s="51">
        <f>IF(AQ159="7",BI159,0)</f>
        <v>0</v>
      </c>
      <c r="AF159" s="51">
        <f>IF(AQ159="2",BH159,0)</f>
        <v>0</v>
      </c>
      <c r="AG159" s="51">
        <f>IF(AQ159="2",BI159,0)</f>
        <v>0</v>
      </c>
      <c r="AH159" s="51">
        <f>IF(AQ159="0",BJ159,0)</f>
        <v>0</v>
      </c>
      <c r="AI159" s="39" t="s">
        <v>135</v>
      </c>
      <c r="AJ159" s="28">
        <f>IF(AN159=0,K159,0)</f>
        <v>0</v>
      </c>
      <c r="AK159" s="28">
        <f>IF(AN159=15,K159,0)</f>
        <v>0</v>
      </c>
      <c r="AL159" s="28">
        <f>IF(AN159=21,K159,0)</f>
        <v>0</v>
      </c>
      <c r="AN159" s="51">
        <v>21</v>
      </c>
      <c r="AO159" s="51">
        <f>H159*0.446905594405594</f>
        <v>0</v>
      </c>
      <c r="AP159" s="51">
        <f>H159*(1-0.446905594405594)</f>
        <v>0</v>
      </c>
      <c r="AQ159" s="52" t="s">
        <v>7</v>
      </c>
      <c r="AV159" s="51">
        <f>AW159+AX159</f>
        <v>0</v>
      </c>
      <c r="AW159" s="51">
        <f>G159*AO159</f>
        <v>0</v>
      </c>
      <c r="AX159" s="51">
        <f>G159*AP159</f>
        <v>0</v>
      </c>
      <c r="AY159" s="54" t="s">
        <v>504</v>
      </c>
      <c r="AZ159" s="54" t="s">
        <v>540</v>
      </c>
      <c r="BA159" s="39" t="s">
        <v>554</v>
      </c>
      <c r="BC159" s="51">
        <f>AW159+AX159</f>
        <v>0</v>
      </c>
      <c r="BD159" s="51">
        <f>H159/(100-BE159)*100</f>
        <v>0</v>
      </c>
      <c r="BE159" s="51">
        <v>0</v>
      </c>
      <c r="BF159" s="51">
        <f>M159</f>
        <v>1.53</v>
      </c>
      <c r="BH159" s="28">
        <f>G159*AO159</f>
        <v>0</v>
      </c>
      <c r="BI159" s="28">
        <f>G159*AP159</f>
        <v>0</v>
      </c>
      <c r="BJ159" s="28">
        <f>G159*H159</f>
        <v>0</v>
      </c>
      <c r="BK159" s="28" t="s">
        <v>561</v>
      </c>
      <c r="BL159" s="51">
        <v>17</v>
      </c>
    </row>
    <row r="160" spans="1:15" ht="12.75">
      <c r="A160" s="6"/>
      <c r="C160" s="20" t="s">
        <v>141</v>
      </c>
      <c r="D160" s="163" t="s">
        <v>330</v>
      </c>
      <c r="E160" s="164"/>
      <c r="F160" s="164"/>
      <c r="G160" s="164"/>
      <c r="H160" s="164"/>
      <c r="I160" s="164"/>
      <c r="J160" s="164"/>
      <c r="K160" s="164"/>
      <c r="L160" s="164"/>
      <c r="M160" s="164"/>
      <c r="N160" s="165"/>
      <c r="O160" s="6"/>
    </row>
    <row r="161" spans="1:15" ht="12.75">
      <c r="A161" s="6"/>
      <c r="D161" s="21" t="s">
        <v>387</v>
      </c>
      <c r="E161" s="22"/>
      <c r="G161" s="29">
        <v>0.9</v>
      </c>
      <c r="N161" s="47"/>
      <c r="O161" s="6"/>
    </row>
    <row r="162" spans="1:47" ht="12.75">
      <c r="A162" s="4"/>
      <c r="B162" s="15" t="s">
        <v>135</v>
      </c>
      <c r="C162" s="15" t="s">
        <v>51</v>
      </c>
      <c r="D162" s="166" t="s">
        <v>334</v>
      </c>
      <c r="E162" s="167"/>
      <c r="F162" s="25" t="s">
        <v>6</v>
      </c>
      <c r="G162" s="25" t="s">
        <v>6</v>
      </c>
      <c r="H162" s="25" t="s">
        <v>6</v>
      </c>
      <c r="I162" s="57">
        <f>SUM(I163:I163)</f>
        <v>0</v>
      </c>
      <c r="J162" s="57">
        <f>SUM(J163:J163)</f>
        <v>0</v>
      </c>
      <c r="K162" s="57">
        <f>SUM(K163:K163)</f>
        <v>0</v>
      </c>
      <c r="L162" s="39"/>
      <c r="M162" s="57">
        <f>SUM(M163:M163)</f>
        <v>0.33966</v>
      </c>
      <c r="N162" s="44"/>
      <c r="O162" s="6"/>
      <c r="AI162" s="39" t="s">
        <v>135</v>
      </c>
      <c r="AS162" s="57">
        <f>SUM(AJ163:AJ163)</f>
        <v>0</v>
      </c>
      <c r="AT162" s="57">
        <f>SUM(AK163:AK163)</f>
        <v>0</v>
      </c>
      <c r="AU162" s="57">
        <f>SUM(AL163:AL163)</f>
        <v>0</v>
      </c>
    </row>
    <row r="163" spans="1:64" ht="12.75">
      <c r="A163" s="5" t="s">
        <v>89</v>
      </c>
      <c r="B163" s="16" t="s">
        <v>135</v>
      </c>
      <c r="C163" s="16" t="s">
        <v>220</v>
      </c>
      <c r="D163" s="161" t="s">
        <v>388</v>
      </c>
      <c r="E163" s="162"/>
      <c r="F163" s="16" t="s">
        <v>459</v>
      </c>
      <c r="G163" s="28">
        <v>0.3</v>
      </c>
      <c r="H163" s="28">
        <v>0</v>
      </c>
      <c r="I163" s="28">
        <f>G163*AO163</f>
        <v>0</v>
      </c>
      <c r="J163" s="28">
        <f>G163*AP163</f>
        <v>0</v>
      </c>
      <c r="K163" s="28">
        <f>G163*H163</f>
        <v>0</v>
      </c>
      <c r="L163" s="28">
        <v>1.1322</v>
      </c>
      <c r="M163" s="28">
        <f>G163*L163</f>
        <v>0.33966</v>
      </c>
      <c r="N163" s="45" t="s">
        <v>484</v>
      </c>
      <c r="O163" s="6"/>
      <c r="Z163" s="51">
        <f>IF(AQ163="5",BJ163,0)</f>
        <v>0</v>
      </c>
      <c r="AB163" s="51">
        <f>IF(AQ163="1",BH163,0)</f>
        <v>0</v>
      </c>
      <c r="AC163" s="51">
        <f>IF(AQ163="1",BI163,0)</f>
        <v>0</v>
      </c>
      <c r="AD163" s="51">
        <f>IF(AQ163="7",BH163,0)</f>
        <v>0</v>
      </c>
      <c r="AE163" s="51">
        <f>IF(AQ163="7",BI163,0)</f>
        <v>0</v>
      </c>
      <c r="AF163" s="51">
        <f>IF(AQ163="2",BH163,0)</f>
        <v>0</v>
      </c>
      <c r="AG163" s="51">
        <f>IF(AQ163="2",BI163,0)</f>
        <v>0</v>
      </c>
      <c r="AH163" s="51">
        <f>IF(AQ163="0",BJ163,0)</f>
        <v>0</v>
      </c>
      <c r="AI163" s="39" t="s">
        <v>135</v>
      </c>
      <c r="AJ163" s="28">
        <f>IF(AN163=0,K163,0)</f>
        <v>0</v>
      </c>
      <c r="AK163" s="28">
        <f>IF(AN163=15,K163,0)</f>
        <v>0</v>
      </c>
      <c r="AL163" s="28">
        <f>IF(AN163=21,K163,0)</f>
        <v>0</v>
      </c>
      <c r="AN163" s="51">
        <v>21</v>
      </c>
      <c r="AO163" s="51">
        <f>H163*0.480146153846154</f>
        <v>0</v>
      </c>
      <c r="AP163" s="51">
        <f>H163*(1-0.480146153846154)</f>
        <v>0</v>
      </c>
      <c r="AQ163" s="52" t="s">
        <v>7</v>
      </c>
      <c r="AV163" s="51">
        <f>AW163+AX163</f>
        <v>0</v>
      </c>
      <c r="AW163" s="51">
        <f>G163*AO163</f>
        <v>0</v>
      </c>
      <c r="AX163" s="51">
        <f>G163*AP163</f>
        <v>0</v>
      </c>
      <c r="AY163" s="54" t="s">
        <v>515</v>
      </c>
      <c r="AZ163" s="54" t="s">
        <v>541</v>
      </c>
      <c r="BA163" s="39" t="s">
        <v>554</v>
      </c>
      <c r="BC163" s="51">
        <f>AW163+AX163</f>
        <v>0</v>
      </c>
      <c r="BD163" s="51">
        <f>H163/(100-BE163)*100</f>
        <v>0</v>
      </c>
      <c r="BE163" s="51">
        <v>0</v>
      </c>
      <c r="BF163" s="51">
        <f>M163</f>
        <v>0.33966</v>
      </c>
      <c r="BH163" s="28">
        <f>G163*AO163</f>
        <v>0</v>
      </c>
      <c r="BI163" s="28">
        <f>G163*AP163</f>
        <v>0</v>
      </c>
      <c r="BJ163" s="28">
        <f>G163*H163</f>
        <v>0</v>
      </c>
      <c r="BK163" s="28" t="s">
        <v>561</v>
      </c>
      <c r="BL163" s="51">
        <v>45</v>
      </c>
    </row>
    <row r="164" spans="1:15" ht="12.75">
      <c r="A164" s="6"/>
      <c r="D164" s="21" t="s">
        <v>389</v>
      </c>
      <c r="E164" s="22"/>
      <c r="G164" s="29">
        <v>0.3</v>
      </c>
      <c r="N164" s="47"/>
      <c r="O164" s="6"/>
    </row>
    <row r="165" spans="1:47" ht="12.75">
      <c r="A165" s="4"/>
      <c r="B165" s="15" t="s">
        <v>135</v>
      </c>
      <c r="C165" s="15" t="s">
        <v>93</v>
      </c>
      <c r="D165" s="166" t="s">
        <v>259</v>
      </c>
      <c r="E165" s="167"/>
      <c r="F165" s="25" t="s">
        <v>6</v>
      </c>
      <c r="G165" s="25" t="s">
        <v>6</v>
      </c>
      <c r="H165" s="25" t="s">
        <v>6</v>
      </c>
      <c r="I165" s="57">
        <f>SUM(I166:I172)</f>
        <v>0</v>
      </c>
      <c r="J165" s="57">
        <f>SUM(J166:J172)</f>
        <v>0</v>
      </c>
      <c r="K165" s="57">
        <f>SUM(K166:K172)</f>
        <v>0</v>
      </c>
      <c r="L165" s="39"/>
      <c r="M165" s="57">
        <f>SUM(M166:M172)</f>
        <v>15.527259999999998</v>
      </c>
      <c r="N165" s="44"/>
      <c r="O165" s="6"/>
      <c r="AI165" s="39" t="s">
        <v>135</v>
      </c>
      <c r="AS165" s="57">
        <f>SUM(AJ166:AJ172)</f>
        <v>0</v>
      </c>
      <c r="AT165" s="57">
        <f>SUM(AK166:AK172)</f>
        <v>0</v>
      </c>
      <c r="AU165" s="57">
        <f>SUM(AL166:AL172)</f>
        <v>0</v>
      </c>
    </row>
    <row r="166" spans="1:64" ht="12.75">
      <c r="A166" s="5" t="s">
        <v>90</v>
      </c>
      <c r="B166" s="16" t="s">
        <v>135</v>
      </c>
      <c r="C166" s="16" t="s">
        <v>221</v>
      </c>
      <c r="D166" s="161" t="s">
        <v>390</v>
      </c>
      <c r="E166" s="162"/>
      <c r="F166" s="16" t="s">
        <v>461</v>
      </c>
      <c r="G166" s="28">
        <v>5</v>
      </c>
      <c r="H166" s="28">
        <v>0</v>
      </c>
      <c r="I166" s="28">
        <f>G166*AO166</f>
        <v>0</v>
      </c>
      <c r="J166" s="28">
        <f>G166*AP166</f>
        <v>0</v>
      </c>
      <c r="K166" s="28">
        <f>G166*H166</f>
        <v>0</v>
      </c>
      <c r="L166" s="28">
        <v>0.0022</v>
      </c>
      <c r="M166" s="28">
        <f>G166*L166</f>
        <v>0.011000000000000001</v>
      </c>
      <c r="N166" s="45" t="s">
        <v>487</v>
      </c>
      <c r="O166" s="6"/>
      <c r="Z166" s="51">
        <f>IF(AQ166="5",BJ166,0)</f>
        <v>0</v>
      </c>
      <c r="AB166" s="51">
        <f>IF(AQ166="1",BH166,0)</f>
        <v>0</v>
      </c>
      <c r="AC166" s="51">
        <f>IF(AQ166="1",BI166,0)</f>
        <v>0</v>
      </c>
      <c r="AD166" s="51">
        <f>IF(AQ166="7",BH166,0)</f>
        <v>0</v>
      </c>
      <c r="AE166" s="51">
        <f>IF(AQ166="7",BI166,0)</f>
        <v>0</v>
      </c>
      <c r="AF166" s="51">
        <f>IF(AQ166="2",BH166,0)</f>
        <v>0</v>
      </c>
      <c r="AG166" s="51">
        <f>IF(AQ166="2",BI166,0)</f>
        <v>0</v>
      </c>
      <c r="AH166" s="51">
        <f>IF(AQ166="0",BJ166,0)</f>
        <v>0</v>
      </c>
      <c r="AI166" s="39" t="s">
        <v>135</v>
      </c>
      <c r="AJ166" s="28">
        <f>IF(AN166=0,K166,0)</f>
        <v>0</v>
      </c>
      <c r="AK166" s="28">
        <f>IF(AN166=15,K166,0)</f>
        <v>0</v>
      </c>
      <c r="AL166" s="28">
        <f>IF(AN166=21,K166,0)</f>
        <v>0</v>
      </c>
      <c r="AN166" s="51">
        <v>21</v>
      </c>
      <c r="AO166" s="51">
        <f>H166*0.823403866089396</f>
        <v>0</v>
      </c>
      <c r="AP166" s="51">
        <f>H166*(1-0.823403866089396)</f>
        <v>0</v>
      </c>
      <c r="AQ166" s="52" t="s">
        <v>7</v>
      </c>
      <c r="AV166" s="51">
        <f>AW166+AX166</f>
        <v>0</v>
      </c>
      <c r="AW166" s="51">
        <f>G166*AO166</f>
        <v>0</v>
      </c>
      <c r="AX166" s="51">
        <f>G166*AP166</f>
        <v>0</v>
      </c>
      <c r="AY166" s="54" t="s">
        <v>500</v>
      </c>
      <c r="AZ166" s="54" t="s">
        <v>542</v>
      </c>
      <c r="BA166" s="39" t="s">
        <v>554</v>
      </c>
      <c r="BC166" s="51">
        <f>AW166+AX166</f>
        <v>0</v>
      </c>
      <c r="BD166" s="51">
        <f>H166/(100-BE166)*100</f>
        <v>0</v>
      </c>
      <c r="BE166" s="51">
        <v>0</v>
      </c>
      <c r="BF166" s="51">
        <f>M166</f>
        <v>0.011000000000000001</v>
      </c>
      <c r="BH166" s="28">
        <f>G166*AO166</f>
        <v>0</v>
      </c>
      <c r="BI166" s="28">
        <f>G166*AP166</f>
        <v>0</v>
      </c>
      <c r="BJ166" s="28">
        <f>G166*H166</f>
        <v>0</v>
      </c>
      <c r="BK166" s="28" t="s">
        <v>561</v>
      </c>
      <c r="BL166" s="51">
        <v>87</v>
      </c>
    </row>
    <row r="167" spans="1:15" ht="12.75">
      <c r="A167" s="6"/>
      <c r="C167" s="20" t="s">
        <v>141</v>
      </c>
      <c r="D167" s="163" t="s">
        <v>391</v>
      </c>
      <c r="E167" s="164"/>
      <c r="F167" s="164"/>
      <c r="G167" s="164"/>
      <c r="H167" s="164"/>
      <c r="I167" s="164"/>
      <c r="J167" s="164"/>
      <c r="K167" s="164"/>
      <c r="L167" s="164"/>
      <c r="M167" s="164"/>
      <c r="N167" s="165"/>
      <c r="O167" s="6"/>
    </row>
    <row r="168" spans="1:64" ht="12.75">
      <c r="A168" s="8" t="s">
        <v>91</v>
      </c>
      <c r="B168" s="18" t="s">
        <v>135</v>
      </c>
      <c r="C168" s="18" t="s">
        <v>222</v>
      </c>
      <c r="D168" s="175" t="s">
        <v>392</v>
      </c>
      <c r="E168" s="176"/>
      <c r="F168" s="18" t="s">
        <v>458</v>
      </c>
      <c r="G168" s="30">
        <v>1</v>
      </c>
      <c r="H168" s="30">
        <v>0</v>
      </c>
      <c r="I168" s="30">
        <f>G168*AO168</f>
        <v>0</v>
      </c>
      <c r="J168" s="30">
        <f>G168*AP168</f>
        <v>0</v>
      </c>
      <c r="K168" s="30">
        <f>G168*H168</f>
        <v>0</v>
      </c>
      <c r="L168" s="30">
        <v>0.344</v>
      </c>
      <c r="M168" s="30">
        <f>G168*L168</f>
        <v>0.344</v>
      </c>
      <c r="N168" s="48" t="s">
        <v>484</v>
      </c>
      <c r="O168" s="6"/>
      <c r="Z168" s="51">
        <f>IF(AQ168="5",BJ168,0)</f>
        <v>0</v>
      </c>
      <c r="AB168" s="51">
        <f>IF(AQ168="1",BH168,0)</f>
        <v>0</v>
      </c>
      <c r="AC168" s="51">
        <f>IF(AQ168="1",BI168,0)</f>
        <v>0</v>
      </c>
      <c r="AD168" s="51">
        <f>IF(AQ168="7",BH168,0)</f>
        <v>0</v>
      </c>
      <c r="AE168" s="51">
        <f>IF(AQ168="7",BI168,0)</f>
        <v>0</v>
      </c>
      <c r="AF168" s="51">
        <f>IF(AQ168="2",BH168,0)</f>
        <v>0</v>
      </c>
      <c r="AG168" s="51">
        <f>IF(AQ168="2",BI168,0)</f>
        <v>0</v>
      </c>
      <c r="AH168" s="51">
        <f>IF(AQ168="0",BJ168,0)</f>
        <v>0</v>
      </c>
      <c r="AI168" s="39" t="s">
        <v>135</v>
      </c>
      <c r="AJ168" s="30">
        <f>IF(AN168=0,K168,0)</f>
        <v>0</v>
      </c>
      <c r="AK168" s="30">
        <f>IF(AN168=15,K168,0)</f>
        <v>0</v>
      </c>
      <c r="AL168" s="30">
        <f>IF(AN168=21,K168,0)</f>
        <v>0</v>
      </c>
      <c r="AN168" s="51">
        <v>21</v>
      </c>
      <c r="AO168" s="51">
        <f>H168*1</f>
        <v>0</v>
      </c>
      <c r="AP168" s="51">
        <f>H168*(1-1)</f>
        <v>0</v>
      </c>
      <c r="AQ168" s="53" t="s">
        <v>7</v>
      </c>
      <c r="AV168" s="51">
        <f>AW168+AX168</f>
        <v>0</v>
      </c>
      <c r="AW168" s="51">
        <f>G168*AO168</f>
        <v>0</v>
      </c>
      <c r="AX168" s="51">
        <f>G168*AP168</f>
        <v>0</v>
      </c>
      <c r="AY168" s="54" t="s">
        <v>500</v>
      </c>
      <c r="AZ168" s="54" t="s">
        <v>542</v>
      </c>
      <c r="BA168" s="39" t="s">
        <v>554</v>
      </c>
      <c r="BC168" s="51">
        <f>AW168+AX168</f>
        <v>0</v>
      </c>
      <c r="BD168" s="51">
        <f>H168/(100-BE168)*100</f>
        <v>0</v>
      </c>
      <c r="BE168" s="51">
        <v>0</v>
      </c>
      <c r="BF168" s="51">
        <f>M168</f>
        <v>0.344</v>
      </c>
      <c r="BH168" s="30">
        <f>G168*AO168</f>
        <v>0</v>
      </c>
      <c r="BI168" s="30">
        <f>G168*AP168</f>
        <v>0</v>
      </c>
      <c r="BJ168" s="30">
        <f>G168*H168</f>
        <v>0</v>
      </c>
      <c r="BK168" s="30" t="s">
        <v>562</v>
      </c>
      <c r="BL168" s="51">
        <v>87</v>
      </c>
    </row>
    <row r="169" spans="1:64" ht="12.75">
      <c r="A169" s="5" t="s">
        <v>92</v>
      </c>
      <c r="B169" s="16" t="s">
        <v>135</v>
      </c>
      <c r="C169" s="16" t="s">
        <v>223</v>
      </c>
      <c r="D169" s="161" t="s">
        <v>393</v>
      </c>
      <c r="E169" s="162"/>
      <c r="F169" s="16" t="s">
        <v>459</v>
      </c>
      <c r="G169" s="28">
        <v>6</v>
      </c>
      <c r="H169" s="28">
        <v>0</v>
      </c>
      <c r="I169" s="28">
        <f>G169*AO169</f>
        <v>0</v>
      </c>
      <c r="J169" s="28">
        <f>G169*AP169</f>
        <v>0</v>
      </c>
      <c r="K169" s="28">
        <f>G169*H169</f>
        <v>0</v>
      </c>
      <c r="L169" s="28">
        <v>2.52871</v>
      </c>
      <c r="M169" s="28">
        <f>G169*L169</f>
        <v>15.172259999999998</v>
      </c>
      <c r="N169" s="45" t="s">
        <v>484</v>
      </c>
      <c r="O169" s="6"/>
      <c r="Z169" s="51">
        <f>IF(AQ169="5",BJ169,0)</f>
        <v>0</v>
      </c>
      <c r="AB169" s="51">
        <f>IF(AQ169="1",BH169,0)</f>
        <v>0</v>
      </c>
      <c r="AC169" s="51">
        <f>IF(AQ169="1",BI169,0)</f>
        <v>0</v>
      </c>
      <c r="AD169" s="51">
        <f>IF(AQ169="7",BH169,0)</f>
        <v>0</v>
      </c>
      <c r="AE169" s="51">
        <f>IF(AQ169="7",BI169,0)</f>
        <v>0</v>
      </c>
      <c r="AF169" s="51">
        <f>IF(AQ169="2",BH169,0)</f>
        <v>0</v>
      </c>
      <c r="AG169" s="51">
        <f>IF(AQ169="2",BI169,0)</f>
        <v>0</v>
      </c>
      <c r="AH169" s="51">
        <f>IF(AQ169="0",BJ169,0)</f>
        <v>0</v>
      </c>
      <c r="AI169" s="39" t="s">
        <v>135</v>
      </c>
      <c r="AJ169" s="28">
        <f>IF(AN169=0,K169,0)</f>
        <v>0</v>
      </c>
      <c r="AK169" s="28">
        <f>IF(AN169=15,K169,0)</f>
        <v>0</v>
      </c>
      <c r="AL169" s="28">
        <f>IF(AN169=21,K169,0)</f>
        <v>0</v>
      </c>
      <c r="AN169" s="51">
        <v>21</v>
      </c>
      <c r="AO169" s="51">
        <f>H169*0.812547426889625</f>
        <v>0</v>
      </c>
      <c r="AP169" s="51">
        <f>H169*(1-0.812547426889625)</f>
        <v>0</v>
      </c>
      <c r="AQ169" s="52" t="s">
        <v>7</v>
      </c>
      <c r="AV169" s="51">
        <f>AW169+AX169</f>
        <v>0</v>
      </c>
      <c r="AW169" s="51">
        <f>G169*AO169</f>
        <v>0</v>
      </c>
      <c r="AX169" s="51">
        <f>G169*AP169</f>
        <v>0</v>
      </c>
      <c r="AY169" s="54" t="s">
        <v>500</v>
      </c>
      <c r="AZ169" s="54" t="s">
        <v>542</v>
      </c>
      <c r="BA169" s="39" t="s">
        <v>554</v>
      </c>
      <c r="BC169" s="51">
        <f>AW169+AX169</f>
        <v>0</v>
      </c>
      <c r="BD169" s="51">
        <f>H169/(100-BE169)*100</f>
        <v>0</v>
      </c>
      <c r="BE169" s="51">
        <v>0</v>
      </c>
      <c r="BF169" s="51">
        <f>M169</f>
        <v>15.172259999999998</v>
      </c>
      <c r="BH169" s="28">
        <f>G169*AO169</f>
        <v>0</v>
      </c>
      <c r="BI169" s="28">
        <f>G169*AP169</f>
        <v>0</v>
      </c>
      <c r="BJ169" s="28">
        <f>G169*H169</f>
        <v>0</v>
      </c>
      <c r="BK169" s="28" t="s">
        <v>561</v>
      </c>
      <c r="BL169" s="51">
        <v>87</v>
      </c>
    </row>
    <row r="170" spans="1:15" ht="12.75">
      <c r="A170" s="6"/>
      <c r="D170" s="21" t="s">
        <v>394</v>
      </c>
      <c r="E170" s="22" t="s">
        <v>449</v>
      </c>
      <c r="G170" s="29">
        <v>4.8</v>
      </c>
      <c r="N170" s="47"/>
      <c r="O170" s="6"/>
    </row>
    <row r="171" spans="1:15" ht="12.75">
      <c r="A171" s="6"/>
      <c r="D171" s="21" t="s">
        <v>395</v>
      </c>
      <c r="E171" s="22" t="s">
        <v>450</v>
      </c>
      <c r="G171" s="29">
        <v>1.2</v>
      </c>
      <c r="N171" s="47"/>
      <c r="O171" s="6"/>
    </row>
    <row r="172" spans="1:64" ht="12.75">
      <c r="A172" s="5" t="s">
        <v>93</v>
      </c>
      <c r="B172" s="16" t="s">
        <v>135</v>
      </c>
      <c r="C172" s="16" t="s">
        <v>217</v>
      </c>
      <c r="D172" s="161" t="s">
        <v>378</v>
      </c>
      <c r="E172" s="162"/>
      <c r="F172" s="16" t="s">
        <v>462</v>
      </c>
      <c r="G172" s="28">
        <v>17.3969</v>
      </c>
      <c r="H172" s="28">
        <v>0</v>
      </c>
      <c r="I172" s="28">
        <f>G172*AO172</f>
        <v>0</v>
      </c>
      <c r="J172" s="28">
        <f>G172*AP172</f>
        <v>0</v>
      </c>
      <c r="K172" s="28">
        <f>G172*H172</f>
        <v>0</v>
      </c>
      <c r="L172" s="28">
        <v>0</v>
      </c>
      <c r="M172" s="28">
        <f>G172*L172</f>
        <v>0</v>
      </c>
      <c r="N172" s="45" t="s">
        <v>484</v>
      </c>
      <c r="O172" s="6"/>
      <c r="Z172" s="51">
        <f>IF(AQ172="5",BJ172,0)</f>
        <v>0</v>
      </c>
      <c r="AB172" s="51">
        <f>IF(AQ172="1",BH172,0)</f>
        <v>0</v>
      </c>
      <c r="AC172" s="51">
        <f>IF(AQ172="1",BI172,0)</f>
        <v>0</v>
      </c>
      <c r="AD172" s="51">
        <f>IF(AQ172="7",BH172,0)</f>
        <v>0</v>
      </c>
      <c r="AE172" s="51">
        <f>IF(AQ172="7",BI172,0)</f>
        <v>0</v>
      </c>
      <c r="AF172" s="51">
        <f>IF(AQ172="2",BH172,0)</f>
        <v>0</v>
      </c>
      <c r="AG172" s="51">
        <f>IF(AQ172="2",BI172,0)</f>
        <v>0</v>
      </c>
      <c r="AH172" s="51">
        <f>IF(AQ172="0",BJ172,0)</f>
        <v>0</v>
      </c>
      <c r="AI172" s="39" t="s">
        <v>135</v>
      </c>
      <c r="AJ172" s="28">
        <f>IF(AN172=0,K172,0)</f>
        <v>0</v>
      </c>
      <c r="AK172" s="28">
        <f>IF(AN172=15,K172,0)</f>
        <v>0</v>
      </c>
      <c r="AL172" s="28">
        <f>IF(AN172=21,K172,0)</f>
        <v>0</v>
      </c>
      <c r="AN172" s="51">
        <v>21</v>
      </c>
      <c r="AO172" s="51">
        <f>H172*0</f>
        <v>0</v>
      </c>
      <c r="AP172" s="51">
        <f>H172*(1-0)</f>
        <v>0</v>
      </c>
      <c r="AQ172" s="52" t="s">
        <v>11</v>
      </c>
      <c r="AV172" s="51">
        <f>AW172+AX172</f>
        <v>0</v>
      </c>
      <c r="AW172" s="51">
        <f>G172*AO172</f>
        <v>0</v>
      </c>
      <c r="AX172" s="51">
        <f>G172*AP172</f>
        <v>0</v>
      </c>
      <c r="AY172" s="54" t="s">
        <v>500</v>
      </c>
      <c r="AZ172" s="54" t="s">
        <v>542</v>
      </c>
      <c r="BA172" s="39" t="s">
        <v>554</v>
      </c>
      <c r="BC172" s="51">
        <f>AW172+AX172</f>
        <v>0</v>
      </c>
      <c r="BD172" s="51">
        <f>H172/(100-BE172)*100</f>
        <v>0</v>
      </c>
      <c r="BE172" s="51">
        <v>0</v>
      </c>
      <c r="BF172" s="51">
        <f>M172</f>
        <v>0</v>
      </c>
      <c r="BH172" s="28">
        <f>G172*AO172</f>
        <v>0</v>
      </c>
      <c r="BI172" s="28">
        <f>G172*AP172</f>
        <v>0</v>
      </c>
      <c r="BJ172" s="28">
        <f>G172*H172</f>
        <v>0</v>
      </c>
      <c r="BK172" s="28" t="s">
        <v>561</v>
      </c>
      <c r="BL172" s="51">
        <v>87</v>
      </c>
    </row>
    <row r="173" spans="1:15" ht="12.75">
      <c r="A173" s="7"/>
      <c r="B173" s="17" t="s">
        <v>136</v>
      </c>
      <c r="C173" s="17"/>
      <c r="D173" s="173" t="s">
        <v>396</v>
      </c>
      <c r="E173" s="174"/>
      <c r="F173" s="26" t="s">
        <v>6</v>
      </c>
      <c r="G173" s="26" t="s">
        <v>6</v>
      </c>
      <c r="H173" s="26" t="s">
        <v>6</v>
      </c>
      <c r="I173" s="58">
        <f>I174+I179+I184+I191+I194+I197+I206+I219</f>
        <v>0</v>
      </c>
      <c r="J173" s="58">
        <f>J174+J179+J184+J191+J194+J197+J206+J219</f>
        <v>0</v>
      </c>
      <c r="K173" s="58">
        <f>K174+K179+K184+K191+K194+K197+K206+K219</f>
        <v>0</v>
      </c>
      <c r="L173" s="40"/>
      <c r="M173" s="58">
        <f>M174+M179+M184+M191+M194+M197+M206+M219</f>
        <v>109.6815858</v>
      </c>
      <c r="N173" s="46"/>
      <c r="O173" s="6"/>
    </row>
    <row r="174" spans="1:47" ht="12.75">
      <c r="A174" s="4"/>
      <c r="B174" s="15" t="s">
        <v>136</v>
      </c>
      <c r="C174" s="15" t="s">
        <v>19</v>
      </c>
      <c r="D174" s="166" t="s">
        <v>310</v>
      </c>
      <c r="E174" s="167"/>
      <c r="F174" s="25" t="s">
        <v>6</v>
      </c>
      <c r="G174" s="25" t="s">
        <v>6</v>
      </c>
      <c r="H174" s="25" t="s">
        <v>6</v>
      </c>
      <c r="I174" s="57">
        <f>SUM(I175:I177)</f>
        <v>0</v>
      </c>
      <c r="J174" s="57">
        <f>SUM(J175:J177)</f>
        <v>0</v>
      </c>
      <c r="K174" s="57">
        <f>SUM(K175:K177)</f>
        <v>0</v>
      </c>
      <c r="L174" s="39"/>
      <c r="M174" s="57">
        <f>SUM(M175:M177)</f>
        <v>0</v>
      </c>
      <c r="N174" s="44"/>
      <c r="O174" s="6"/>
      <c r="AI174" s="39" t="s">
        <v>136</v>
      </c>
      <c r="AS174" s="57">
        <f>SUM(AJ175:AJ177)</f>
        <v>0</v>
      </c>
      <c r="AT174" s="57">
        <f>SUM(AK175:AK177)</f>
        <v>0</v>
      </c>
      <c r="AU174" s="57">
        <f>SUM(AL175:AL177)</f>
        <v>0</v>
      </c>
    </row>
    <row r="175" spans="1:64" ht="12.75">
      <c r="A175" s="5" t="s">
        <v>94</v>
      </c>
      <c r="B175" s="16" t="s">
        <v>136</v>
      </c>
      <c r="C175" s="16" t="s">
        <v>177</v>
      </c>
      <c r="D175" s="161" t="s">
        <v>325</v>
      </c>
      <c r="E175" s="162"/>
      <c r="F175" s="16" t="s">
        <v>459</v>
      </c>
      <c r="G175" s="28">
        <v>91.26</v>
      </c>
      <c r="H175" s="28">
        <v>0</v>
      </c>
      <c r="I175" s="28">
        <f>G175*AO175</f>
        <v>0</v>
      </c>
      <c r="J175" s="28">
        <f>G175*AP175</f>
        <v>0</v>
      </c>
      <c r="K175" s="28">
        <f>G175*H175</f>
        <v>0</v>
      </c>
      <c r="L175" s="28">
        <v>0</v>
      </c>
      <c r="M175" s="28">
        <f>G175*L175</f>
        <v>0</v>
      </c>
      <c r="N175" s="45" t="s">
        <v>484</v>
      </c>
      <c r="O175" s="6"/>
      <c r="Z175" s="51">
        <f>IF(AQ175="5",BJ175,0)</f>
        <v>0</v>
      </c>
      <c r="AB175" s="51">
        <f>IF(AQ175="1",BH175,0)</f>
        <v>0</v>
      </c>
      <c r="AC175" s="51">
        <f>IF(AQ175="1",BI175,0)</f>
        <v>0</v>
      </c>
      <c r="AD175" s="51">
        <f>IF(AQ175="7",BH175,0)</f>
        <v>0</v>
      </c>
      <c r="AE175" s="51">
        <f>IF(AQ175="7",BI175,0)</f>
        <v>0</v>
      </c>
      <c r="AF175" s="51">
        <f>IF(AQ175="2",BH175,0)</f>
        <v>0</v>
      </c>
      <c r="AG175" s="51">
        <f>IF(AQ175="2",BI175,0)</f>
        <v>0</v>
      </c>
      <c r="AH175" s="51">
        <f>IF(AQ175="0",BJ175,0)</f>
        <v>0</v>
      </c>
      <c r="AI175" s="39" t="s">
        <v>136</v>
      </c>
      <c r="AJ175" s="28">
        <f>IF(AN175=0,K175,0)</f>
        <v>0</v>
      </c>
      <c r="AK175" s="28">
        <f>IF(AN175=15,K175,0)</f>
        <v>0</v>
      </c>
      <c r="AL175" s="28">
        <f>IF(AN175=21,K175,0)</f>
        <v>0</v>
      </c>
      <c r="AN175" s="51">
        <v>21</v>
      </c>
      <c r="AO175" s="51">
        <f>H175*0</f>
        <v>0</v>
      </c>
      <c r="AP175" s="51">
        <f>H175*(1-0)</f>
        <v>0</v>
      </c>
      <c r="AQ175" s="52" t="s">
        <v>7</v>
      </c>
      <c r="AV175" s="51">
        <f>AW175+AX175</f>
        <v>0</v>
      </c>
      <c r="AW175" s="51">
        <f>G175*AO175</f>
        <v>0</v>
      </c>
      <c r="AX175" s="51">
        <f>G175*AP175</f>
        <v>0</v>
      </c>
      <c r="AY175" s="54" t="s">
        <v>512</v>
      </c>
      <c r="AZ175" s="54" t="s">
        <v>543</v>
      </c>
      <c r="BA175" s="39" t="s">
        <v>555</v>
      </c>
      <c r="BC175" s="51">
        <f>AW175+AX175</f>
        <v>0</v>
      </c>
      <c r="BD175" s="51">
        <f>H175/(100-BE175)*100</f>
        <v>0</v>
      </c>
      <c r="BE175" s="51">
        <v>0</v>
      </c>
      <c r="BF175" s="51">
        <f>M175</f>
        <v>0</v>
      </c>
      <c r="BH175" s="28">
        <f>G175*AO175</f>
        <v>0</v>
      </c>
      <c r="BI175" s="28">
        <f>G175*AP175</f>
        <v>0</v>
      </c>
      <c r="BJ175" s="28">
        <f>G175*H175</f>
        <v>0</v>
      </c>
      <c r="BK175" s="28" t="s">
        <v>561</v>
      </c>
      <c r="BL175" s="51">
        <v>13</v>
      </c>
    </row>
    <row r="176" spans="1:15" ht="12.75">
      <c r="A176" s="6"/>
      <c r="D176" s="21" t="s">
        <v>397</v>
      </c>
      <c r="E176" s="22"/>
      <c r="G176" s="29">
        <v>91.26</v>
      </c>
      <c r="N176" s="47"/>
      <c r="O176" s="6"/>
    </row>
    <row r="177" spans="1:64" ht="12.75">
      <c r="A177" s="5" t="s">
        <v>95</v>
      </c>
      <c r="B177" s="16" t="s">
        <v>136</v>
      </c>
      <c r="C177" s="16" t="s">
        <v>224</v>
      </c>
      <c r="D177" s="161" t="s">
        <v>398</v>
      </c>
      <c r="E177" s="162"/>
      <c r="F177" s="16" t="s">
        <v>459</v>
      </c>
      <c r="G177" s="28">
        <v>103.68</v>
      </c>
      <c r="H177" s="28">
        <v>0</v>
      </c>
      <c r="I177" s="28">
        <f>G177*AO177</f>
        <v>0</v>
      </c>
      <c r="J177" s="28">
        <f>G177*AP177</f>
        <v>0</v>
      </c>
      <c r="K177" s="28">
        <f>G177*H177</f>
        <v>0</v>
      </c>
      <c r="L177" s="28">
        <v>0</v>
      </c>
      <c r="M177" s="28">
        <f>G177*L177</f>
        <v>0</v>
      </c>
      <c r="N177" s="45" t="s">
        <v>484</v>
      </c>
      <c r="O177" s="6"/>
      <c r="Z177" s="51">
        <f>IF(AQ177="5",BJ177,0)</f>
        <v>0</v>
      </c>
      <c r="AB177" s="51">
        <f>IF(AQ177="1",BH177,0)</f>
        <v>0</v>
      </c>
      <c r="AC177" s="51">
        <f>IF(AQ177="1",BI177,0)</f>
        <v>0</v>
      </c>
      <c r="AD177" s="51">
        <f>IF(AQ177="7",BH177,0)</f>
        <v>0</v>
      </c>
      <c r="AE177" s="51">
        <f>IF(AQ177="7",BI177,0)</f>
        <v>0</v>
      </c>
      <c r="AF177" s="51">
        <f>IF(AQ177="2",BH177,0)</f>
        <v>0</v>
      </c>
      <c r="AG177" s="51">
        <f>IF(AQ177="2",BI177,0)</f>
        <v>0</v>
      </c>
      <c r="AH177" s="51">
        <f>IF(AQ177="0",BJ177,0)</f>
        <v>0</v>
      </c>
      <c r="AI177" s="39" t="s">
        <v>136</v>
      </c>
      <c r="AJ177" s="28">
        <f>IF(AN177=0,K177,0)</f>
        <v>0</v>
      </c>
      <c r="AK177" s="28">
        <f>IF(AN177=15,K177,0)</f>
        <v>0</v>
      </c>
      <c r="AL177" s="28">
        <f>IF(AN177=21,K177,0)</f>
        <v>0</v>
      </c>
      <c r="AN177" s="51">
        <v>21</v>
      </c>
      <c r="AO177" s="51">
        <f>H177*0</f>
        <v>0</v>
      </c>
      <c r="AP177" s="51">
        <f>H177*(1-0)</f>
        <v>0</v>
      </c>
      <c r="AQ177" s="52" t="s">
        <v>7</v>
      </c>
      <c r="AV177" s="51">
        <f>AW177+AX177</f>
        <v>0</v>
      </c>
      <c r="AW177" s="51">
        <f>G177*AO177</f>
        <v>0</v>
      </c>
      <c r="AX177" s="51">
        <f>G177*AP177</f>
        <v>0</v>
      </c>
      <c r="AY177" s="54" t="s">
        <v>512</v>
      </c>
      <c r="AZ177" s="54" t="s">
        <v>543</v>
      </c>
      <c r="BA177" s="39" t="s">
        <v>555</v>
      </c>
      <c r="BC177" s="51">
        <f>AW177+AX177</f>
        <v>0</v>
      </c>
      <c r="BD177" s="51">
        <f>H177/(100-BE177)*100</f>
        <v>0</v>
      </c>
      <c r="BE177" s="51">
        <v>0</v>
      </c>
      <c r="BF177" s="51">
        <f>M177</f>
        <v>0</v>
      </c>
      <c r="BH177" s="28">
        <f>G177*AO177</f>
        <v>0</v>
      </c>
      <c r="BI177" s="28">
        <f>G177*AP177</f>
        <v>0</v>
      </c>
      <c r="BJ177" s="28">
        <f>G177*H177</f>
        <v>0</v>
      </c>
      <c r="BK177" s="28" t="s">
        <v>561</v>
      </c>
      <c r="BL177" s="51">
        <v>13</v>
      </c>
    </row>
    <row r="178" spans="1:15" ht="12.75">
      <c r="A178" s="6"/>
      <c r="D178" s="21" t="s">
        <v>399</v>
      </c>
      <c r="E178" s="22"/>
      <c r="G178" s="29">
        <v>103.68</v>
      </c>
      <c r="N178" s="47"/>
      <c r="O178" s="6"/>
    </row>
    <row r="179" spans="1:47" ht="12.75">
      <c r="A179" s="4"/>
      <c r="B179" s="15" t="s">
        <v>136</v>
      </c>
      <c r="C179" s="15" t="s">
        <v>22</v>
      </c>
      <c r="D179" s="166" t="s">
        <v>272</v>
      </c>
      <c r="E179" s="167"/>
      <c r="F179" s="25" t="s">
        <v>6</v>
      </c>
      <c r="G179" s="25" t="s">
        <v>6</v>
      </c>
      <c r="H179" s="25" t="s">
        <v>6</v>
      </c>
      <c r="I179" s="57">
        <f>SUM(I180:I182)</f>
        <v>0</v>
      </c>
      <c r="J179" s="57">
        <f>SUM(J180:J182)</f>
        <v>0</v>
      </c>
      <c r="K179" s="57">
        <f>SUM(K180:K182)</f>
        <v>0</v>
      </c>
      <c r="L179" s="39"/>
      <c r="M179" s="57">
        <f>SUM(M180:M182)</f>
        <v>0</v>
      </c>
      <c r="N179" s="44"/>
      <c r="O179" s="6"/>
      <c r="AI179" s="39" t="s">
        <v>136</v>
      </c>
      <c r="AS179" s="57">
        <f>SUM(AJ180:AJ182)</f>
        <v>0</v>
      </c>
      <c r="AT179" s="57">
        <f>SUM(AK180:AK182)</f>
        <v>0</v>
      </c>
      <c r="AU179" s="57">
        <f>SUM(AL180:AL182)</f>
        <v>0</v>
      </c>
    </row>
    <row r="180" spans="1:64" ht="12.75">
      <c r="A180" s="5" t="s">
        <v>96</v>
      </c>
      <c r="B180" s="16" t="s">
        <v>136</v>
      </c>
      <c r="C180" s="16" t="s">
        <v>148</v>
      </c>
      <c r="D180" s="161" t="s">
        <v>274</v>
      </c>
      <c r="E180" s="162"/>
      <c r="F180" s="16" t="s">
        <v>459</v>
      </c>
      <c r="G180" s="28">
        <v>102.3</v>
      </c>
      <c r="H180" s="28">
        <v>0</v>
      </c>
      <c r="I180" s="28">
        <f>G180*AO180</f>
        <v>0</v>
      </c>
      <c r="J180" s="28">
        <f>G180*AP180</f>
        <v>0</v>
      </c>
      <c r="K180" s="28">
        <f>G180*H180</f>
        <v>0</v>
      </c>
      <c r="L180" s="28">
        <v>0</v>
      </c>
      <c r="M180" s="28">
        <f>G180*L180</f>
        <v>0</v>
      </c>
      <c r="N180" s="45" t="s">
        <v>484</v>
      </c>
      <c r="O180" s="6"/>
      <c r="Z180" s="51">
        <f>IF(AQ180="5",BJ180,0)</f>
        <v>0</v>
      </c>
      <c r="AB180" s="51">
        <f>IF(AQ180="1",BH180,0)</f>
        <v>0</v>
      </c>
      <c r="AC180" s="51">
        <f>IF(AQ180="1",BI180,0)</f>
        <v>0</v>
      </c>
      <c r="AD180" s="51">
        <f>IF(AQ180="7",BH180,0)</f>
        <v>0</v>
      </c>
      <c r="AE180" s="51">
        <f>IF(AQ180="7",BI180,0)</f>
        <v>0</v>
      </c>
      <c r="AF180" s="51">
        <f>IF(AQ180="2",BH180,0)</f>
        <v>0</v>
      </c>
      <c r="AG180" s="51">
        <f>IF(AQ180="2",BI180,0)</f>
        <v>0</v>
      </c>
      <c r="AH180" s="51">
        <f>IF(AQ180="0",BJ180,0)</f>
        <v>0</v>
      </c>
      <c r="AI180" s="39" t="s">
        <v>136</v>
      </c>
      <c r="AJ180" s="28">
        <f>IF(AN180=0,K180,0)</f>
        <v>0</v>
      </c>
      <c r="AK180" s="28">
        <f>IF(AN180=15,K180,0)</f>
        <v>0</v>
      </c>
      <c r="AL180" s="28">
        <f>IF(AN180=21,K180,0)</f>
        <v>0</v>
      </c>
      <c r="AN180" s="51">
        <v>21</v>
      </c>
      <c r="AO180" s="51">
        <f>H180*0</f>
        <v>0</v>
      </c>
      <c r="AP180" s="51">
        <f>H180*(1-0)</f>
        <v>0</v>
      </c>
      <c r="AQ180" s="52" t="s">
        <v>7</v>
      </c>
      <c r="AV180" s="51">
        <f>AW180+AX180</f>
        <v>0</v>
      </c>
      <c r="AW180" s="51">
        <f>G180*AO180</f>
        <v>0</v>
      </c>
      <c r="AX180" s="51">
        <f>G180*AP180</f>
        <v>0</v>
      </c>
      <c r="AY180" s="54" t="s">
        <v>503</v>
      </c>
      <c r="AZ180" s="54" t="s">
        <v>543</v>
      </c>
      <c r="BA180" s="39" t="s">
        <v>555</v>
      </c>
      <c r="BC180" s="51">
        <f>AW180+AX180</f>
        <v>0</v>
      </c>
      <c r="BD180" s="51">
        <f>H180/(100-BE180)*100</f>
        <v>0</v>
      </c>
      <c r="BE180" s="51">
        <v>0</v>
      </c>
      <c r="BF180" s="51">
        <f>M180</f>
        <v>0</v>
      </c>
      <c r="BH180" s="28">
        <f>G180*AO180</f>
        <v>0</v>
      </c>
      <c r="BI180" s="28">
        <f>G180*AP180</f>
        <v>0</v>
      </c>
      <c r="BJ180" s="28">
        <f>G180*H180</f>
        <v>0</v>
      </c>
      <c r="BK180" s="28" t="s">
        <v>561</v>
      </c>
      <c r="BL180" s="51">
        <v>16</v>
      </c>
    </row>
    <row r="181" spans="1:15" ht="12.75">
      <c r="A181" s="6"/>
      <c r="D181" s="21" t="s">
        <v>400</v>
      </c>
      <c r="E181" s="22"/>
      <c r="G181" s="29">
        <v>102.3</v>
      </c>
      <c r="N181" s="47"/>
      <c r="O181" s="6"/>
    </row>
    <row r="182" spans="1:64" ht="12.75">
      <c r="A182" s="5" t="s">
        <v>97</v>
      </c>
      <c r="B182" s="16" t="s">
        <v>136</v>
      </c>
      <c r="C182" s="16" t="s">
        <v>149</v>
      </c>
      <c r="D182" s="161" t="s">
        <v>276</v>
      </c>
      <c r="E182" s="162"/>
      <c r="F182" s="16" t="s">
        <v>459</v>
      </c>
      <c r="G182" s="28">
        <v>511.5</v>
      </c>
      <c r="H182" s="28">
        <v>0</v>
      </c>
      <c r="I182" s="28">
        <f>G182*AO182</f>
        <v>0</v>
      </c>
      <c r="J182" s="28">
        <f>G182*AP182</f>
        <v>0</v>
      </c>
      <c r="K182" s="28">
        <f>G182*H182</f>
        <v>0</v>
      </c>
      <c r="L182" s="28">
        <v>0</v>
      </c>
      <c r="M182" s="28">
        <f>G182*L182</f>
        <v>0</v>
      </c>
      <c r="N182" s="45" t="s">
        <v>484</v>
      </c>
      <c r="O182" s="6"/>
      <c r="Z182" s="51">
        <f>IF(AQ182="5",BJ182,0)</f>
        <v>0</v>
      </c>
      <c r="AB182" s="51">
        <f>IF(AQ182="1",BH182,0)</f>
        <v>0</v>
      </c>
      <c r="AC182" s="51">
        <f>IF(AQ182="1",BI182,0)</f>
        <v>0</v>
      </c>
      <c r="AD182" s="51">
        <f>IF(AQ182="7",BH182,0)</f>
        <v>0</v>
      </c>
      <c r="AE182" s="51">
        <f>IF(AQ182="7",BI182,0)</f>
        <v>0</v>
      </c>
      <c r="AF182" s="51">
        <f>IF(AQ182="2",BH182,0)</f>
        <v>0</v>
      </c>
      <c r="AG182" s="51">
        <f>IF(AQ182="2",BI182,0)</f>
        <v>0</v>
      </c>
      <c r="AH182" s="51">
        <f>IF(AQ182="0",BJ182,0)</f>
        <v>0</v>
      </c>
      <c r="AI182" s="39" t="s">
        <v>136</v>
      </c>
      <c r="AJ182" s="28">
        <f>IF(AN182=0,K182,0)</f>
        <v>0</v>
      </c>
      <c r="AK182" s="28">
        <f>IF(AN182=15,K182,0)</f>
        <v>0</v>
      </c>
      <c r="AL182" s="28">
        <f>IF(AN182=21,K182,0)</f>
        <v>0</v>
      </c>
      <c r="AN182" s="51">
        <v>21</v>
      </c>
      <c r="AO182" s="51">
        <f>H182*0</f>
        <v>0</v>
      </c>
      <c r="AP182" s="51">
        <f>H182*(1-0)</f>
        <v>0</v>
      </c>
      <c r="AQ182" s="52" t="s">
        <v>7</v>
      </c>
      <c r="AV182" s="51">
        <f>AW182+AX182</f>
        <v>0</v>
      </c>
      <c r="AW182" s="51">
        <f>G182*AO182</f>
        <v>0</v>
      </c>
      <c r="AX182" s="51">
        <f>G182*AP182</f>
        <v>0</v>
      </c>
      <c r="AY182" s="54" t="s">
        <v>503</v>
      </c>
      <c r="AZ182" s="54" t="s">
        <v>543</v>
      </c>
      <c r="BA182" s="39" t="s">
        <v>555</v>
      </c>
      <c r="BC182" s="51">
        <f>AW182+AX182</f>
        <v>0</v>
      </c>
      <c r="BD182" s="51">
        <f>H182/(100-BE182)*100</f>
        <v>0</v>
      </c>
      <c r="BE182" s="51">
        <v>0</v>
      </c>
      <c r="BF182" s="51">
        <f>M182</f>
        <v>0</v>
      </c>
      <c r="BH182" s="28">
        <f>G182*AO182</f>
        <v>0</v>
      </c>
      <c r="BI182" s="28">
        <f>G182*AP182</f>
        <v>0</v>
      </c>
      <c r="BJ182" s="28">
        <f>G182*H182</f>
        <v>0</v>
      </c>
      <c r="BK182" s="28" t="s">
        <v>561</v>
      </c>
      <c r="BL182" s="51">
        <v>16</v>
      </c>
    </row>
    <row r="183" spans="1:15" ht="12.75">
      <c r="A183" s="6"/>
      <c r="D183" s="21" t="s">
        <v>401</v>
      </c>
      <c r="E183" s="22"/>
      <c r="G183" s="29">
        <v>511.5</v>
      </c>
      <c r="N183" s="47"/>
      <c r="O183" s="6"/>
    </row>
    <row r="184" spans="1:47" ht="12.75">
      <c r="A184" s="4"/>
      <c r="B184" s="15" t="s">
        <v>136</v>
      </c>
      <c r="C184" s="15" t="s">
        <v>23</v>
      </c>
      <c r="D184" s="166" t="s">
        <v>278</v>
      </c>
      <c r="E184" s="167"/>
      <c r="F184" s="25" t="s">
        <v>6</v>
      </c>
      <c r="G184" s="25" t="s">
        <v>6</v>
      </c>
      <c r="H184" s="25" t="s">
        <v>6</v>
      </c>
      <c r="I184" s="57">
        <f>SUM(I185:I188)</f>
        <v>0</v>
      </c>
      <c r="J184" s="57">
        <f>SUM(J185:J188)</f>
        <v>0</v>
      </c>
      <c r="K184" s="57">
        <f>SUM(K185:K188)</f>
        <v>0</v>
      </c>
      <c r="L184" s="39"/>
      <c r="M184" s="57">
        <f>SUM(M185:M188)</f>
        <v>47.736</v>
      </c>
      <c r="N184" s="44"/>
      <c r="O184" s="6"/>
      <c r="AI184" s="39" t="s">
        <v>136</v>
      </c>
      <c r="AS184" s="57">
        <f>SUM(AJ185:AJ188)</f>
        <v>0</v>
      </c>
      <c r="AT184" s="57">
        <f>SUM(AK185:AK188)</f>
        <v>0</v>
      </c>
      <c r="AU184" s="57">
        <f>SUM(AL185:AL188)</f>
        <v>0</v>
      </c>
    </row>
    <row r="185" spans="1:64" ht="12.75">
      <c r="A185" s="5" t="s">
        <v>98</v>
      </c>
      <c r="B185" s="16" t="s">
        <v>136</v>
      </c>
      <c r="C185" s="16" t="s">
        <v>179</v>
      </c>
      <c r="D185" s="161" t="s">
        <v>332</v>
      </c>
      <c r="E185" s="162"/>
      <c r="F185" s="16" t="s">
        <v>459</v>
      </c>
      <c r="G185" s="28">
        <v>92.64</v>
      </c>
      <c r="H185" s="28">
        <v>0</v>
      </c>
      <c r="I185" s="28">
        <f>G185*AO185</f>
        <v>0</v>
      </c>
      <c r="J185" s="28">
        <f>G185*AP185</f>
        <v>0</v>
      </c>
      <c r="K185" s="28">
        <f>G185*H185</f>
        <v>0</v>
      </c>
      <c r="L185" s="28">
        <v>0</v>
      </c>
      <c r="M185" s="28">
        <f>G185*L185</f>
        <v>0</v>
      </c>
      <c r="N185" s="45" t="s">
        <v>484</v>
      </c>
      <c r="O185" s="6"/>
      <c r="Z185" s="51">
        <f>IF(AQ185="5",BJ185,0)</f>
        <v>0</v>
      </c>
      <c r="AB185" s="51">
        <f>IF(AQ185="1",BH185,0)</f>
        <v>0</v>
      </c>
      <c r="AC185" s="51">
        <f>IF(AQ185="1",BI185,0)</f>
        <v>0</v>
      </c>
      <c r="AD185" s="51">
        <f>IF(AQ185="7",BH185,0)</f>
        <v>0</v>
      </c>
      <c r="AE185" s="51">
        <f>IF(AQ185="7",BI185,0)</f>
        <v>0</v>
      </c>
      <c r="AF185" s="51">
        <f>IF(AQ185="2",BH185,0)</f>
        <v>0</v>
      </c>
      <c r="AG185" s="51">
        <f>IF(AQ185="2",BI185,0)</f>
        <v>0</v>
      </c>
      <c r="AH185" s="51">
        <f>IF(AQ185="0",BJ185,0)</f>
        <v>0</v>
      </c>
      <c r="AI185" s="39" t="s">
        <v>136</v>
      </c>
      <c r="AJ185" s="28">
        <f>IF(AN185=0,K185,0)</f>
        <v>0</v>
      </c>
      <c r="AK185" s="28">
        <f>IF(AN185=15,K185,0)</f>
        <v>0</v>
      </c>
      <c r="AL185" s="28">
        <f>IF(AN185=21,K185,0)</f>
        <v>0</v>
      </c>
      <c r="AN185" s="51">
        <v>21</v>
      </c>
      <c r="AO185" s="51">
        <f>H185*0</f>
        <v>0</v>
      </c>
      <c r="AP185" s="51">
        <f>H185*(1-0)</f>
        <v>0</v>
      </c>
      <c r="AQ185" s="52" t="s">
        <v>7</v>
      </c>
      <c r="AV185" s="51">
        <f>AW185+AX185</f>
        <v>0</v>
      </c>
      <c r="AW185" s="51">
        <f>G185*AO185</f>
        <v>0</v>
      </c>
      <c r="AX185" s="51">
        <f>G185*AP185</f>
        <v>0</v>
      </c>
      <c r="AY185" s="54" t="s">
        <v>504</v>
      </c>
      <c r="AZ185" s="54" t="s">
        <v>543</v>
      </c>
      <c r="BA185" s="39" t="s">
        <v>555</v>
      </c>
      <c r="BC185" s="51">
        <f>AW185+AX185</f>
        <v>0</v>
      </c>
      <c r="BD185" s="51">
        <f>H185/(100-BE185)*100</f>
        <v>0</v>
      </c>
      <c r="BE185" s="51">
        <v>0</v>
      </c>
      <c r="BF185" s="51">
        <f>M185</f>
        <v>0</v>
      </c>
      <c r="BH185" s="28">
        <f>G185*AO185</f>
        <v>0</v>
      </c>
      <c r="BI185" s="28">
        <f>G185*AP185</f>
        <v>0</v>
      </c>
      <c r="BJ185" s="28">
        <f>G185*H185</f>
        <v>0</v>
      </c>
      <c r="BK185" s="28" t="s">
        <v>561</v>
      </c>
      <c r="BL185" s="51">
        <v>17</v>
      </c>
    </row>
    <row r="186" spans="1:15" ht="12.75">
      <c r="A186" s="6"/>
      <c r="D186" s="21" t="s">
        <v>402</v>
      </c>
      <c r="E186" s="22" t="s">
        <v>451</v>
      </c>
      <c r="G186" s="29">
        <v>56.16</v>
      </c>
      <c r="N186" s="47"/>
      <c r="O186" s="6"/>
    </row>
    <row r="187" spans="1:15" ht="12.75">
      <c r="A187" s="6"/>
      <c r="D187" s="21" t="s">
        <v>403</v>
      </c>
      <c r="E187" s="22" t="s">
        <v>452</v>
      </c>
      <c r="G187" s="29">
        <v>36.48</v>
      </c>
      <c r="N187" s="47"/>
      <c r="O187" s="6"/>
    </row>
    <row r="188" spans="1:64" ht="12.75">
      <c r="A188" s="5" t="s">
        <v>99</v>
      </c>
      <c r="B188" s="16" t="s">
        <v>136</v>
      </c>
      <c r="C188" s="16" t="s">
        <v>178</v>
      </c>
      <c r="D188" s="161" t="s">
        <v>329</v>
      </c>
      <c r="E188" s="162"/>
      <c r="F188" s="16" t="s">
        <v>459</v>
      </c>
      <c r="G188" s="28">
        <v>28.08</v>
      </c>
      <c r="H188" s="28">
        <v>0</v>
      </c>
      <c r="I188" s="28">
        <f>G188*AO188</f>
        <v>0</v>
      </c>
      <c r="J188" s="28">
        <f>G188*AP188</f>
        <v>0</v>
      </c>
      <c r="K188" s="28">
        <f>G188*H188</f>
        <v>0</v>
      </c>
      <c r="L188" s="28">
        <v>1.7</v>
      </c>
      <c r="M188" s="28">
        <f>G188*L188</f>
        <v>47.736</v>
      </c>
      <c r="N188" s="45" t="s">
        <v>484</v>
      </c>
      <c r="O188" s="6"/>
      <c r="Z188" s="51">
        <f>IF(AQ188="5",BJ188,0)</f>
        <v>0</v>
      </c>
      <c r="AB188" s="51">
        <f>IF(AQ188="1",BH188,0)</f>
        <v>0</v>
      </c>
      <c r="AC188" s="51">
        <f>IF(AQ188="1",BI188,0)</f>
        <v>0</v>
      </c>
      <c r="AD188" s="51">
        <f>IF(AQ188="7",BH188,0)</f>
        <v>0</v>
      </c>
      <c r="AE188" s="51">
        <f>IF(AQ188="7",BI188,0)</f>
        <v>0</v>
      </c>
      <c r="AF188" s="51">
        <f>IF(AQ188="2",BH188,0)</f>
        <v>0</v>
      </c>
      <c r="AG188" s="51">
        <f>IF(AQ188="2",BI188,0)</f>
        <v>0</v>
      </c>
      <c r="AH188" s="51">
        <f>IF(AQ188="0",BJ188,0)</f>
        <v>0</v>
      </c>
      <c r="AI188" s="39" t="s">
        <v>136</v>
      </c>
      <c r="AJ188" s="28">
        <f>IF(AN188=0,K188,0)</f>
        <v>0</v>
      </c>
      <c r="AK188" s="28">
        <f>IF(AN188=15,K188,0)</f>
        <v>0</v>
      </c>
      <c r="AL188" s="28">
        <f>IF(AN188=21,K188,0)</f>
        <v>0</v>
      </c>
      <c r="AN188" s="51">
        <v>21</v>
      </c>
      <c r="AO188" s="51">
        <f>H188*0.446905594405594</f>
        <v>0</v>
      </c>
      <c r="AP188" s="51">
        <f>H188*(1-0.446905594405594)</f>
        <v>0</v>
      </c>
      <c r="AQ188" s="52" t="s">
        <v>7</v>
      </c>
      <c r="AV188" s="51">
        <f>AW188+AX188</f>
        <v>0</v>
      </c>
      <c r="AW188" s="51">
        <f>G188*AO188</f>
        <v>0</v>
      </c>
      <c r="AX188" s="51">
        <f>G188*AP188</f>
        <v>0</v>
      </c>
      <c r="AY188" s="54" t="s">
        <v>504</v>
      </c>
      <c r="AZ188" s="54" t="s">
        <v>543</v>
      </c>
      <c r="BA188" s="39" t="s">
        <v>555</v>
      </c>
      <c r="BC188" s="51">
        <f>AW188+AX188</f>
        <v>0</v>
      </c>
      <c r="BD188" s="51">
        <f>H188/(100-BE188)*100</f>
        <v>0</v>
      </c>
      <c r="BE188" s="51">
        <v>0</v>
      </c>
      <c r="BF188" s="51">
        <f>M188</f>
        <v>47.736</v>
      </c>
      <c r="BH188" s="28">
        <f>G188*AO188</f>
        <v>0</v>
      </c>
      <c r="BI188" s="28">
        <f>G188*AP188</f>
        <v>0</v>
      </c>
      <c r="BJ188" s="28">
        <f>G188*H188</f>
        <v>0</v>
      </c>
      <c r="BK188" s="28" t="s">
        <v>561</v>
      </c>
      <c r="BL188" s="51">
        <v>17</v>
      </c>
    </row>
    <row r="189" spans="1:15" ht="12.75">
      <c r="A189" s="6"/>
      <c r="C189" s="20" t="s">
        <v>141</v>
      </c>
      <c r="D189" s="163" t="s">
        <v>330</v>
      </c>
      <c r="E189" s="164"/>
      <c r="F189" s="164"/>
      <c r="G189" s="164"/>
      <c r="H189" s="164"/>
      <c r="I189" s="164"/>
      <c r="J189" s="164"/>
      <c r="K189" s="164"/>
      <c r="L189" s="164"/>
      <c r="M189" s="164"/>
      <c r="N189" s="165"/>
      <c r="O189" s="6"/>
    </row>
    <row r="190" spans="1:15" ht="12.75">
      <c r="A190" s="6"/>
      <c r="D190" s="21" t="s">
        <v>404</v>
      </c>
      <c r="E190" s="22"/>
      <c r="G190" s="29">
        <v>28.08</v>
      </c>
      <c r="N190" s="47"/>
      <c r="O190" s="6"/>
    </row>
    <row r="191" spans="1:47" ht="12.75">
      <c r="A191" s="4"/>
      <c r="B191" s="15" t="s">
        <v>136</v>
      </c>
      <c r="C191" s="15" t="s">
        <v>27</v>
      </c>
      <c r="D191" s="166" t="s">
        <v>284</v>
      </c>
      <c r="E191" s="167"/>
      <c r="F191" s="25" t="s">
        <v>6</v>
      </c>
      <c r="G191" s="25" t="s">
        <v>6</v>
      </c>
      <c r="H191" s="25" t="s">
        <v>6</v>
      </c>
      <c r="I191" s="57">
        <f>SUM(I192:I192)</f>
        <v>0</v>
      </c>
      <c r="J191" s="57">
        <f>SUM(J192:J192)</f>
        <v>0</v>
      </c>
      <c r="K191" s="57">
        <f>SUM(K192:K192)</f>
        <v>0</v>
      </c>
      <c r="L191" s="39"/>
      <c r="M191" s="57">
        <f>SUM(M192:M192)</f>
        <v>12.441600000000001</v>
      </c>
      <c r="N191" s="44"/>
      <c r="O191" s="6"/>
      <c r="AI191" s="39" t="s">
        <v>136</v>
      </c>
      <c r="AS191" s="57">
        <f>SUM(AJ192:AJ192)</f>
        <v>0</v>
      </c>
      <c r="AT191" s="57">
        <f>SUM(AK192:AK192)</f>
        <v>0</v>
      </c>
      <c r="AU191" s="57">
        <f>SUM(AL192:AL192)</f>
        <v>0</v>
      </c>
    </row>
    <row r="192" spans="1:64" ht="12.75">
      <c r="A192" s="5" t="s">
        <v>100</v>
      </c>
      <c r="B192" s="16" t="s">
        <v>136</v>
      </c>
      <c r="C192" s="16" t="s">
        <v>225</v>
      </c>
      <c r="D192" s="161" t="s">
        <v>405</v>
      </c>
      <c r="E192" s="162"/>
      <c r="F192" s="16" t="s">
        <v>459</v>
      </c>
      <c r="G192" s="28">
        <v>5.76</v>
      </c>
      <c r="H192" s="28">
        <v>0</v>
      </c>
      <c r="I192" s="28">
        <f>G192*AO192</f>
        <v>0</v>
      </c>
      <c r="J192" s="28">
        <f>G192*AP192</f>
        <v>0</v>
      </c>
      <c r="K192" s="28">
        <f>G192*H192</f>
        <v>0</v>
      </c>
      <c r="L192" s="28">
        <v>2.16</v>
      </c>
      <c r="M192" s="28">
        <f>G192*L192</f>
        <v>12.441600000000001</v>
      </c>
      <c r="N192" s="45" t="s">
        <v>484</v>
      </c>
      <c r="O192" s="6"/>
      <c r="Z192" s="51">
        <f>IF(AQ192="5",BJ192,0)</f>
        <v>0</v>
      </c>
      <c r="AB192" s="51">
        <f>IF(AQ192="1",BH192,0)</f>
        <v>0</v>
      </c>
      <c r="AC192" s="51">
        <f>IF(AQ192="1",BI192,0)</f>
        <v>0</v>
      </c>
      <c r="AD192" s="51">
        <f>IF(AQ192="7",BH192,0)</f>
        <v>0</v>
      </c>
      <c r="AE192" s="51">
        <f>IF(AQ192="7",BI192,0)</f>
        <v>0</v>
      </c>
      <c r="AF192" s="51">
        <f>IF(AQ192="2",BH192,0)</f>
        <v>0</v>
      </c>
      <c r="AG192" s="51">
        <f>IF(AQ192="2",BI192,0)</f>
        <v>0</v>
      </c>
      <c r="AH192" s="51">
        <f>IF(AQ192="0",BJ192,0)</f>
        <v>0</v>
      </c>
      <c r="AI192" s="39" t="s">
        <v>136</v>
      </c>
      <c r="AJ192" s="28">
        <f>IF(AN192=0,K192,0)</f>
        <v>0</v>
      </c>
      <c r="AK192" s="28">
        <f>IF(AN192=15,K192,0)</f>
        <v>0</v>
      </c>
      <c r="AL192" s="28">
        <f>IF(AN192=21,K192,0)</f>
        <v>0</v>
      </c>
      <c r="AN192" s="51">
        <v>21</v>
      </c>
      <c r="AO192" s="51">
        <f>H192*0.618876786929884</f>
        <v>0</v>
      </c>
      <c r="AP192" s="51">
        <f>H192*(1-0.618876786929884)</f>
        <v>0</v>
      </c>
      <c r="AQ192" s="52" t="s">
        <v>7</v>
      </c>
      <c r="AV192" s="51">
        <f>AW192+AX192</f>
        <v>0</v>
      </c>
      <c r="AW192" s="51">
        <f>G192*AO192</f>
        <v>0</v>
      </c>
      <c r="AX192" s="51">
        <f>G192*AP192</f>
        <v>0</v>
      </c>
      <c r="AY192" s="54" t="s">
        <v>506</v>
      </c>
      <c r="AZ192" s="54" t="s">
        <v>544</v>
      </c>
      <c r="BA192" s="39" t="s">
        <v>555</v>
      </c>
      <c r="BC192" s="51">
        <f>AW192+AX192</f>
        <v>0</v>
      </c>
      <c r="BD192" s="51">
        <f>H192/(100-BE192)*100</f>
        <v>0</v>
      </c>
      <c r="BE192" s="51">
        <v>0</v>
      </c>
      <c r="BF192" s="51">
        <f>M192</f>
        <v>12.441600000000001</v>
      </c>
      <c r="BH192" s="28">
        <f>G192*AO192</f>
        <v>0</v>
      </c>
      <c r="BI192" s="28">
        <f>G192*AP192</f>
        <v>0</v>
      </c>
      <c r="BJ192" s="28">
        <f>G192*H192</f>
        <v>0</v>
      </c>
      <c r="BK192" s="28" t="s">
        <v>561</v>
      </c>
      <c r="BL192" s="51">
        <v>21</v>
      </c>
    </row>
    <row r="193" spans="1:15" ht="12.75">
      <c r="A193" s="6"/>
      <c r="D193" s="21" t="s">
        <v>406</v>
      </c>
      <c r="E193" s="22"/>
      <c r="G193" s="29">
        <v>5.76</v>
      </c>
      <c r="N193" s="47"/>
      <c r="O193" s="6"/>
    </row>
    <row r="194" spans="1:47" ht="12.75">
      <c r="A194" s="4"/>
      <c r="B194" s="15" t="s">
        <v>136</v>
      </c>
      <c r="C194" s="15" t="s">
        <v>51</v>
      </c>
      <c r="D194" s="166" t="s">
        <v>334</v>
      </c>
      <c r="E194" s="167"/>
      <c r="F194" s="25" t="s">
        <v>6</v>
      </c>
      <c r="G194" s="25" t="s">
        <v>6</v>
      </c>
      <c r="H194" s="25" t="s">
        <v>6</v>
      </c>
      <c r="I194" s="57">
        <f>SUM(I195:I195)</f>
        <v>0</v>
      </c>
      <c r="J194" s="57">
        <f>SUM(J195:J195)</f>
        <v>0</v>
      </c>
      <c r="K194" s="57">
        <f>SUM(K195:K195)</f>
        <v>0</v>
      </c>
      <c r="L194" s="39"/>
      <c r="M194" s="57">
        <f>SUM(M195:M195)</f>
        <v>13.2732054</v>
      </c>
      <c r="N194" s="44"/>
      <c r="O194" s="6"/>
      <c r="AI194" s="39" t="s">
        <v>136</v>
      </c>
      <c r="AS194" s="57">
        <f>SUM(AJ195:AJ195)</f>
        <v>0</v>
      </c>
      <c r="AT194" s="57">
        <f>SUM(AK195:AK195)</f>
        <v>0</v>
      </c>
      <c r="AU194" s="57">
        <f>SUM(AL195:AL195)</f>
        <v>0</v>
      </c>
    </row>
    <row r="195" spans="1:64" ht="12.75">
      <c r="A195" s="5" t="s">
        <v>101</v>
      </c>
      <c r="B195" s="16" t="s">
        <v>136</v>
      </c>
      <c r="C195" s="16" t="s">
        <v>180</v>
      </c>
      <c r="D195" s="161" t="s">
        <v>335</v>
      </c>
      <c r="E195" s="162"/>
      <c r="F195" s="16" t="s">
        <v>459</v>
      </c>
      <c r="G195" s="28">
        <v>7.02</v>
      </c>
      <c r="H195" s="28">
        <v>0</v>
      </c>
      <c r="I195" s="28">
        <f>G195*AO195</f>
        <v>0</v>
      </c>
      <c r="J195" s="28">
        <f>G195*AP195</f>
        <v>0</v>
      </c>
      <c r="K195" s="28">
        <f>G195*H195</f>
        <v>0</v>
      </c>
      <c r="L195" s="28">
        <v>1.89077</v>
      </c>
      <c r="M195" s="28">
        <f>G195*L195</f>
        <v>13.2732054</v>
      </c>
      <c r="N195" s="45" t="s">
        <v>484</v>
      </c>
      <c r="O195" s="6"/>
      <c r="Z195" s="51">
        <f>IF(AQ195="5",BJ195,0)</f>
        <v>0</v>
      </c>
      <c r="AB195" s="51">
        <f>IF(AQ195="1",BH195,0)</f>
        <v>0</v>
      </c>
      <c r="AC195" s="51">
        <f>IF(AQ195="1",BI195,0)</f>
        <v>0</v>
      </c>
      <c r="AD195" s="51">
        <f>IF(AQ195="7",BH195,0)</f>
        <v>0</v>
      </c>
      <c r="AE195" s="51">
        <f>IF(AQ195="7",BI195,0)</f>
        <v>0</v>
      </c>
      <c r="AF195" s="51">
        <f>IF(AQ195="2",BH195,0)</f>
        <v>0</v>
      </c>
      <c r="AG195" s="51">
        <f>IF(AQ195="2",BI195,0)</f>
        <v>0</v>
      </c>
      <c r="AH195" s="51">
        <f>IF(AQ195="0",BJ195,0)</f>
        <v>0</v>
      </c>
      <c r="AI195" s="39" t="s">
        <v>136</v>
      </c>
      <c r="AJ195" s="28">
        <f>IF(AN195=0,K195,0)</f>
        <v>0</v>
      </c>
      <c r="AK195" s="28">
        <f>IF(AN195=15,K195,0)</f>
        <v>0</v>
      </c>
      <c r="AL195" s="28">
        <f>IF(AN195=21,K195,0)</f>
        <v>0</v>
      </c>
      <c r="AN195" s="51">
        <v>21</v>
      </c>
      <c r="AO195" s="51">
        <f>H195*0.478541666666667</f>
        <v>0</v>
      </c>
      <c r="AP195" s="51">
        <f>H195*(1-0.478541666666667)</f>
        <v>0</v>
      </c>
      <c r="AQ195" s="52" t="s">
        <v>7</v>
      </c>
      <c r="AV195" s="51">
        <f>AW195+AX195</f>
        <v>0</v>
      </c>
      <c r="AW195" s="51">
        <f>G195*AO195</f>
        <v>0</v>
      </c>
      <c r="AX195" s="51">
        <f>G195*AP195</f>
        <v>0</v>
      </c>
      <c r="AY195" s="54" t="s">
        <v>515</v>
      </c>
      <c r="AZ195" s="54" t="s">
        <v>545</v>
      </c>
      <c r="BA195" s="39" t="s">
        <v>555</v>
      </c>
      <c r="BC195" s="51">
        <f>AW195+AX195</f>
        <v>0</v>
      </c>
      <c r="BD195" s="51">
        <f>H195/(100-BE195)*100</f>
        <v>0</v>
      </c>
      <c r="BE195" s="51">
        <v>0</v>
      </c>
      <c r="BF195" s="51">
        <f>M195</f>
        <v>13.2732054</v>
      </c>
      <c r="BH195" s="28">
        <f>G195*AO195</f>
        <v>0</v>
      </c>
      <c r="BI195" s="28">
        <f>G195*AP195</f>
        <v>0</v>
      </c>
      <c r="BJ195" s="28">
        <f>G195*H195</f>
        <v>0</v>
      </c>
      <c r="BK195" s="28" t="s">
        <v>561</v>
      </c>
      <c r="BL195" s="51">
        <v>45</v>
      </c>
    </row>
    <row r="196" spans="1:15" ht="12.75">
      <c r="A196" s="6"/>
      <c r="D196" s="21" t="s">
        <v>407</v>
      </c>
      <c r="E196" s="22"/>
      <c r="G196" s="29">
        <v>7.02</v>
      </c>
      <c r="N196" s="47"/>
      <c r="O196" s="6"/>
    </row>
    <row r="197" spans="1:47" ht="12.75">
      <c r="A197" s="4"/>
      <c r="B197" s="15" t="s">
        <v>136</v>
      </c>
      <c r="C197" s="15" t="s">
        <v>93</v>
      </c>
      <c r="D197" s="166" t="s">
        <v>259</v>
      </c>
      <c r="E197" s="167"/>
      <c r="F197" s="25" t="s">
        <v>6</v>
      </c>
      <c r="G197" s="25" t="s">
        <v>6</v>
      </c>
      <c r="H197" s="25" t="s">
        <v>6</v>
      </c>
      <c r="I197" s="57">
        <f>SUM(I198:I205)</f>
        <v>0</v>
      </c>
      <c r="J197" s="57">
        <f>SUM(J198:J205)</f>
        <v>0</v>
      </c>
      <c r="K197" s="57">
        <f>SUM(K198:K205)</f>
        <v>0</v>
      </c>
      <c r="L197" s="39"/>
      <c r="M197" s="57">
        <f>SUM(M198:M205)</f>
        <v>0.67752</v>
      </c>
      <c r="N197" s="44"/>
      <c r="O197" s="6"/>
      <c r="AI197" s="39" t="s">
        <v>136</v>
      </c>
      <c r="AS197" s="57">
        <f>SUM(AJ198:AJ205)</f>
        <v>0</v>
      </c>
      <c r="AT197" s="57">
        <f>SUM(AK198:AK205)</f>
        <v>0</v>
      </c>
      <c r="AU197" s="57">
        <f>SUM(AL198:AL205)</f>
        <v>0</v>
      </c>
    </row>
    <row r="198" spans="1:64" ht="12.75">
      <c r="A198" s="5" t="s">
        <v>102</v>
      </c>
      <c r="B198" s="16" t="s">
        <v>136</v>
      </c>
      <c r="C198" s="16" t="s">
        <v>221</v>
      </c>
      <c r="D198" s="161" t="s">
        <v>390</v>
      </c>
      <c r="E198" s="162"/>
      <c r="F198" s="16" t="s">
        <v>461</v>
      </c>
      <c r="G198" s="28">
        <v>33</v>
      </c>
      <c r="H198" s="28">
        <v>0</v>
      </c>
      <c r="I198" s="28">
        <f>G198*AO198</f>
        <v>0</v>
      </c>
      <c r="J198" s="28">
        <f>G198*AP198</f>
        <v>0</v>
      </c>
      <c r="K198" s="28">
        <f>G198*H198</f>
        <v>0</v>
      </c>
      <c r="L198" s="28">
        <v>0.0022</v>
      </c>
      <c r="M198" s="28">
        <f>G198*L198</f>
        <v>0.0726</v>
      </c>
      <c r="N198" s="45" t="s">
        <v>488</v>
      </c>
      <c r="O198" s="6"/>
      <c r="Z198" s="51">
        <f>IF(AQ198="5",BJ198,0)</f>
        <v>0</v>
      </c>
      <c r="AB198" s="51">
        <f>IF(AQ198="1",BH198,0)</f>
        <v>0</v>
      </c>
      <c r="AC198" s="51">
        <f>IF(AQ198="1",BI198,0)</f>
        <v>0</v>
      </c>
      <c r="AD198" s="51">
        <f>IF(AQ198="7",BH198,0)</f>
        <v>0</v>
      </c>
      <c r="AE198" s="51">
        <f>IF(AQ198="7",BI198,0)</f>
        <v>0</v>
      </c>
      <c r="AF198" s="51">
        <f>IF(AQ198="2",BH198,0)</f>
        <v>0</v>
      </c>
      <c r="AG198" s="51">
        <f>IF(AQ198="2",BI198,0)</f>
        <v>0</v>
      </c>
      <c r="AH198" s="51">
        <f>IF(AQ198="0",BJ198,0)</f>
        <v>0</v>
      </c>
      <c r="AI198" s="39" t="s">
        <v>136</v>
      </c>
      <c r="AJ198" s="28">
        <f>IF(AN198=0,K198,0)</f>
        <v>0</v>
      </c>
      <c r="AK198" s="28">
        <f>IF(AN198=15,K198,0)</f>
        <v>0</v>
      </c>
      <c r="AL198" s="28">
        <f>IF(AN198=21,K198,0)</f>
        <v>0</v>
      </c>
      <c r="AN198" s="51">
        <v>21</v>
      </c>
      <c r="AO198" s="51">
        <f>H198*0.823403866089396</f>
        <v>0</v>
      </c>
      <c r="AP198" s="51">
        <f>H198*(1-0.823403866089396)</f>
        <v>0</v>
      </c>
      <c r="AQ198" s="52" t="s">
        <v>7</v>
      </c>
      <c r="AV198" s="51">
        <f>AW198+AX198</f>
        <v>0</v>
      </c>
      <c r="AW198" s="51">
        <f>G198*AO198</f>
        <v>0</v>
      </c>
      <c r="AX198" s="51">
        <f>G198*AP198</f>
        <v>0</v>
      </c>
      <c r="AY198" s="54" t="s">
        <v>500</v>
      </c>
      <c r="AZ198" s="54" t="s">
        <v>546</v>
      </c>
      <c r="BA198" s="39" t="s">
        <v>555</v>
      </c>
      <c r="BC198" s="51">
        <f>AW198+AX198</f>
        <v>0</v>
      </c>
      <c r="BD198" s="51">
        <f>H198/(100-BE198)*100</f>
        <v>0</v>
      </c>
      <c r="BE198" s="51">
        <v>0</v>
      </c>
      <c r="BF198" s="51">
        <f>M198</f>
        <v>0.0726</v>
      </c>
      <c r="BH198" s="28">
        <f>G198*AO198</f>
        <v>0</v>
      </c>
      <c r="BI198" s="28">
        <f>G198*AP198</f>
        <v>0</v>
      </c>
      <c r="BJ198" s="28">
        <f>G198*H198</f>
        <v>0</v>
      </c>
      <c r="BK198" s="28" t="s">
        <v>561</v>
      </c>
      <c r="BL198" s="51">
        <v>87</v>
      </c>
    </row>
    <row r="199" spans="1:15" ht="12.75">
      <c r="A199" s="6"/>
      <c r="C199" s="20" t="s">
        <v>141</v>
      </c>
      <c r="D199" s="163" t="s">
        <v>391</v>
      </c>
      <c r="E199" s="164"/>
      <c r="F199" s="164"/>
      <c r="G199" s="164"/>
      <c r="H199" s="164"/>
      <c r="I199" s="164"/>
      <c r="J199" s="164"/>
      <c r="K199" s="164"/>
      <c r="L199" s="164"/>
      <c r="M199" s="164"/>
      <c r="N199" s="165"/>
      <c r="O199" s="6"/>
    </row>
    <row r="200" spans="1:64" ht="12.75">
      <c r="A200" s="5" t="s">
        <v>103</v>
      </c>
      <c r="B200" s="16" t="s">
        <v>136</v>
      </c>
      <c r="C200" s="16" t="s">
        <v>226</v>
      </c>
      <c r="D200" s="161" t="s">
        <v>408</v>
      </c>
      <c r="E200" s="162"/>
      <c r="F200" s="16" t="s">
        <v>461</v>
      </c>
      <c r="G200" s="28">
        <v>48</v>
      </c>
      <c r="H200" s="28">
        <v>0</v>
      </c>
      <c r="I200" s="28">
        <f>G200*AO200</f>
        <v>0</v>
      </c>
      <c r="J200" s="28">
        <f>G200*AP200</f>
        <v>0</v>
      </c>
      <c r="K200" s="28">
        <f>G200*H200</f>
        <v>0</v>
      </c>
      <c r="L200" s="28">
        <v>0.00339</v>
      </c>
      <c r="M200" s="28">
        <f>G200*L200</f>
        <v>0.16271999999999998</v>
      </c>
      <c r="N200" s="45" t="s">
        <v>488</v>
      </c>
      <c r="O200" s="6"/>
      <c r="Z200" s="51">
        <f>IF(AQ200="5",BJ200,0)</f>
        <v>0</v>
      </c>
      <c r="AB200" s="51">
        <f>IF(AQ200="1",BH200,0)</f>
        <v>0</v>
      </c>
      <c r="AC200" s="51">
        <f>IF(AQ200="1",BI200,0)</f>
        <v>0</v>
      </c>
      <c r="AD200" s="51">
        <f>IF(AQ200="7",BH200,0)</f>
        <v>0</v>
      </c>
      <c r="AE200" s="51">
        <f>IF(AQ200="7",BI200,0)</f>
        <v>0</v>
      </c>
      <c r="AF200" s="51">
        <f>IF(AQ200="2",BH200,0)</f>
        <v>0</v>
      </c>
      <c r="AG200" s="51">
        <f>IF(AQ200="2",BI200,0)</f>
        <v>0</v>
      </c>
      <c r="AH200" s="51">
        <f>IF(AQ200="0",BJ200,0)</f>
        <v>0</v>
      </c>
      <c r="AI200" s="39" t="s">
        <v>136</v>
      </c>
      <c r="AJ200" s="28">
        <f>IF(AN200=0,K200,0)</f>
        <v>0</v>
      </c>
      <c r="AK200" s="28">
        <f>IF(AN200=15,K200,0)</f>
        <v>0</v>
      </c>
      <c r="AL200" s="28">
        <f>IF(AN200=21,K200,0)</f>
        <v>0</v>
      </c>
      <c r="AN200" s="51">
        <v>21</v>
      </c>
      <c r="AO200" s="51">
        <f>H200*0.861574803149606</f>
        <v>0</v>
      </c>
      <c r="AP200" s="51">
        <f>H200*(1-0.861574803149606)</f>
        <v>0</v>
      </c>
      <c r="AQ200" s="52" t="s">
        <v>7</v>
      </c>
      <c r="AV200" s="51">
        <f>AW200+AX200</f>
        <v>0</v>
      </c>
      <c r="AW200" s="51">
        <f>G200*AO200</f>
        <v>0</v>
      </c>
      <c r="AX200" s="51">
        <f>G200*AP200</f>
        <v>0</v>
      </c>
      <c r="AY200" s="54" t="s">
        <v>500</v>
      </c>
      <c r="AZ200" s="54" t="s">
        <v>546</v>
      </c>
      <c r="BA200" s="39" t="s">
        <v>555</v>
      </c>
      <c r="BC200" s="51">
        <f>AW200+AX200</f>
        <v>0</v>
      </c>
      <c r="BD200" s="51">
        <f>H200/(100-BE200)*100</f>
        <v>0</v>
      </c>
      <c r="BE200" s="51">
        <v>0</v>
      </c>
      <c r="BF200" s="51">
        <f>M200</f>
        <v>0.16271999999999998</v>
      </c>
      <c r="BH200" s="28">
        <f>G200*AO200</f>
        <v>0</v>
      </c>
      <c r="BI200" s="28">
        <f>G200*AP200</f>
        <v>0</v>
      </c>
      <c r="BJ200" s="28">
        <f>G200*H200</f>
        <v>0</v>
      </c>
      <c r="BK200" s="28" t="s">
        <v>561</v>
      </c>
      <c r="BL200" s="51">
        <v>87</v>
      </c>
    </row>
    <row r="201" spans="1:15" ht="12.75">
      <c r="A201" s="6"/>
      <c r="C201" s="20" t="s">
        <v>141</v>
      </c>
      <c r="D201" s="163" t="s">
        <v>409</v>
      </c>
      <c r="E201" s="164"/>
      <c r="F201" s="164"/>
      <c r="G201" s="164"/>
      <c r="H201" s="164"/>
      <c r="I201" s="164"/>
      <c r="J201" s="164"/>
      <c r="K201" s="164"/>
      <c r="L201" s="164"/>
      <c r="M201" s="164"/>
      <c r="N201" s="165"/>
      <c r="O201" s="6"/>
    </row>
    <row r="202" spans="1:64" ht="12.75">
      <c r="A202" s="5" t="s">
        <v>104</v>
      </c>
      <c r="B202" s="16" t="s">
        <v>136</v>
      </c>
      <c r="C202" s="16" t="s">
        <v>227</v>
      </c>
      <c r="D202" s="161" t="s">
        <v>410</v>
      </c>
      <c r="E202" s="162"/>
      <c r="F202" s="16" t="s">
        <v>461</v>
      </c>
      <c r="G202" s="28">
        <v>36</v>
      </c>
      <c r="H202" s="28">
        <v>0</v>
      </c>
      <c r="I202" s="28">
        <f>G202*AO202</f>
        <v>0</v>
      </c>
      <c r="J202" s="28">
        <f>G202*AP202</f>
        <v>0</v>
      </c>
      <c r="K202" s="28">
        <f>G202*H202</f>
        <v>0</v>
      </c>
      <c r="L202" s="28">
        <v>0.01215</v>
      </c>
      <c r="M202" s="28">
        <f>G202*L202</f>
        <v>0.43739999999999996</v>
      </c>
      <c r="N202" s="45" t="s">
        <v>487</v>
      </c>
      <c r="O202" s="6"/>
      <c r="Z202" s="51">
        <f>IF(AQ202="5",BJ202,0)</f>
        <v>0</v>
      </c>
      <c r="AB202" s="51">
        <f>IF(AQ202="1",BH202,0)</f>
        <v>0</v>
      </c>
      <c r="AC202" s="51">
        <f>IF(AQ202="1",BI202,0)</f>
        <v>0</v>
      </c>
      <c r="AD202" s="51">
        <f>IF(AQ202="7",BH202,0)</f>
        <v>0</v>
      </c>
      <c r="AE202" s="51">
        <f>IF(AQ202="7",BI202,0)</f>
        <v>0</v>
      </c>
      <c r="AF202" s="51">
        <f>IF(AQ202="2",BH202,0)</f>
        <v>0</v>
      </c>
      <c r="AG202" s="51">
        <f>IF(AQ202="2",BI202,0)</f>
        <v>0</v>
      </c>
      <c r="AH202" s="51">
        <f>IF(AQ202="0",BJ202,0)</f>
        <v>0</v>
      </c>
      <c r="AI202" s="39" t="s">
        <v>136</v>
      </c>
      <c r="AJ202" s="28">
        <f>IF(AN202=0,K202,0)</f>
        <v>0</v>
      </c>
      <c r="AK202" s="28">
        <f>IF(AN202=15,K202,0)</f>
        <v>0</v>
      </c>
      <c r="AL202" s="28">
        <f>IF(AN202=21,K202,0)</f>
        <v>0</v>
      </c>
      <c r="AN202" s="51">
        <v>21</v>
      </c>
      <c r="AO202" s="51">
        <f>H202*0.934227994227994</f>
        <v>0</v>
      </c>
      <c r="AP202" s="51">
        <f>H202*(1-0.934227994227994)</f>
        <v>0</v>
      </c>
      <c r="AQ202" s="52" t="s">
        <v>7</v>
      </c>
      <c r="AV202" s="51">
        <f>AW202+AX202</f>
        <v>0</v>
      </c>
      <c r="AW202" s="51">
        <f>G202*AO202</f>
        <v>0</v>
      </c>
      <c r="AX202" s="51">
        <f>G202*AP202</f>
        <v>0</v>
      </c>
      <c r="AY202" s="54" t="s">
        <v>500</v>
      </c>
      <c r="AZ202" s="54" t="s">
        <v>546</v>
      </c>
      <c r="BA202" s="39" t="s">
        <v>555</v>
      </c>
      <c r="BC202" s="51">
        <f>AW202+AX202</f>
        <v>0</v>
      </c>
      <c r="BD202" s="51">
        <f>H202/(100-BE202)*100</f>
        <v>0</v>
      </c>
      <c r="BE202" s="51">
        <v>0</v>
      </c>
      <c r="BF202" s="51">
        <f>M202</f>
        <v>0.43739999999999996</v>
      </c>
      <c r="BH202" s="28">
        <f>G202*AO202</f>
        <v>0</v>
      </c>
      <c r="BI202" s="28">
        <f>G202*AP202</f>
        <v>0</v>
      </c>
      <c r="BJ202" s="28">
        <f>G202*H202</f>
        <v>0</v>
      </c>
      <c r="BK202" s="28" t="s">
        <v>561</v>
      </c>
      <c r="BL202" s="51">
        <v>87</v>
      </c>
    </row>
    <row r="203" spans="1:15" ht="12.75">
      <c r="A203" s="6"/>
      <c r="C203" s="20" t="s">
        <v>141</v>
      </c>
      <c r="D203" s="163" t="s">
        <v>411</v>
      </c>
      <c r="E203" s="164"/>
      <c r="F203" s="164"/>
      <c r="G203" s="164"/>
      <c r="H203" s="164"/>
      <c r="I203" s="164"/>
      <c r="J203" s="164"/>
      <c r="K203" s="164"/>
      <c r="L203" s="164"/>
      <c r="M203" s="164"/>
      <c r="N203" s="165"/>
      <c r="O203" s="6"/>
    </row>
    <row r="204" spans="1:64" ht="12.75">
      <c r="A204" s="5" t="s">
        <v>105</v>
      </c>
      <c r="B204" s="16" t="s">
        <v>136</v>
      </c>
      <c r="C204" s="16" t="s">
        <v>163</v>
      </c>
      <c r="D204" s="161" t="s">
        <v>300</v>
      </c>
      <c r="E204" s="162"/>
      <c r="F204" s="16" t="s">
        <v>461</v>
      </c>
      <c r="G204" s="28">
        <v>10</v>
      </c>
      <c r="H204" s="28">
        <v>0</v>
      </c>
      <c r="I204" s="28">
        <f>G204*AO204</f>
        <v>0</v>
      </c>
      <c r="J204" s="28">
        <f>G204*AP204</f>
        <v>0</v>
      </c>
      <c r="K204" s="28">
        <f>G204*H204</f>
        <v>0</v>
      </c>
      <c r="L204" s="28">
        <v>0</v>
      </c>
      <c r="M204" s="28">
        <f>G204*L204</f>
        <v>0</v>
      </c>
      <c r="N204" s="45" t="s">
        <v>484</v>
      </c>
      <c r="O204" s="6"/>
      <c r="Z204" s="51">
        <f>IF(AQ204="5",BJ204,0)</f>
        <v>0</v>
      </c>
      <c r="AB204" s="51">
        <f>IF(AQ204="1",BH204,0)</f>
        <v>0</v>
      </c>
      <c r="AC204" s="51">
        <f>IF(AQ204="1",BI204,0)</f>
        <v>0</v>
      </c>
      <c r="AD204" s="51">
        <f>IF(AQ204="7",BH204,0)</f>
        <v>0</v>
      </c>
      <c r="AE204" s="51">
        <f>IF(AQ204="7",BI204,0)</f>
        <v>0</v>
      </c>
      <c r="AF204" s="51">
        <f>IF(AQ204="2",BH204,0)</f>
        <v>0</v>
      </c>
      <c r="AG204" s="51">
        <f>IF(AQ204="2",BI204,0)</f>
        <v>0</v>
      </c>
      <c r="AH204" s="51">
        <f>IF(AQ204="0",BJ204,0)</f>
        <v>0</v>
      </c>
      <c r="AI204" s="39" t="s">
        <v>136</v>
      </c>
      <c r="AJ204" s="28">
        <f>IF(AN204=0,K204,0)</f>
        <v>0</v>
      </c>
      <c r="AK204" s="28">
        <f>IF(AN204=15,K204,0)</f>
        <v>0</v>
      </c>
      <c r="AL204" s="28">
        <f>IF(AN204=21,K204,0)</f>
        <v>0</v>
      </c>
      <c r="AN204" s="51">
        <v>21</v>
      </c>
      <c r="AO204" s="51">
        <f>H204*0</f>
        <v>0</v>
      </c>
      <c r="AP204" s="51">
        <f>H204*(1-0)</f>
        <v>0</v>
      </c>
      <c r="AQ204" s="52" t="s">
        <v>7</v>
      </c>
      <c r="AV204" s="51">
        <f>AW204+AX204</f>
        <v>0</v>
      </c>
      <c r="AW204" s="51">
        <f>G204*AO204</f>
        <v>0</v>
      </c>
      <c r="AX204" s="51">
        <f>G204*AP204</f>
        <v>0</v>
      </c>
      <c r="AY204" s="54" t="s">
        <v>500</v>
      </c>
      <c r="AZ204" s="54" t="s">
        <v>546</v>
      </c>
      <c r="BA204" s="39" t="s">
        <v>555</v>
      </c>
      <c r="BC204" s="51">
        <f>AW204+AX204</f>
        <v>0</v>
      </c>
      <c r="BD204" s="51">
        <f>H204/(100-BE204)*100</f>
        <v>0</v>
      </c>
      <c r="BE204" s="51">
        <v>0</v>
      </c>
      <c r="BF204" s="51">
        <f>M204</f>
        <v>0</v>
      </c>
      <c r="BH204" s="28">
        <f>G204*AO204</f>
        <v>0</v>
      </c>
      <c r="BI204" s="28">
        <f>G204*AP204</f>
        <v>0</v>
      </c>
      <c r="BJ204" s="28">
        <f>G204*H204</f>
        <v>0</v>
      </c>
      <c r="BK204" s="28" t="s">
        <v>561</v>
      </c>
      <c r="BL204" s="51">
        <v>87</v>
      </c>
    </row>
    <row r="205" spans="1:64" ht="12.75">
      <c r="A205" s="8" t="s">
        <v>106</v>
      </c>
      <c r="B205" s="18" t="s">
        <v>136</v>
      </c>
      <c r="C205" s="18" t="s">
        <v>228</v>
      </c>
      <c r="D205" s="175" t="s">
        <v>412</v>
      </c>
      <c r="E205" s="176"/>
      <c r="F205" s="18" t="s">
        <v>461</v>
      </c>
      <c r="G205" s="30">
        <v>10</v>
      </c>
      <c r="H205" s="30">
        <v>0</v>
      </c>
      <c r="I205" s="30">
        <f>G205*AO205</f>
        <v>0</v>
      </c>
      <c r="J205" s="30">
        <f>G205*AP205</f>
        <v>0</v>
      </c>
      <c r="K205" s="30">
        <f>G205*H205</f>
        <v>0</v>
      </c>
      <c r="L205" s="30">
        <v>0.00048</v>
      </c>
      <c r="M205" s="30">
        <f>G205*L205</f>
        <v>0.0048000000000000004</v>
      </c>
      <c r="N205" s="48" t="s">
        <v>484</v>
      </c>
      <c r="O205" s="6"/>
      <c r="Z205" s="51">
        <f>IF(AQ205="5",BJ205,0)</f>
        <v>0</v>
      </c>
      <c r="AB205" s="51">
        <f>IF(AQ205="1",BH205,0)</f>
        <v>0</v>
      </c>
      <c r="AC205" s="51">
        <f>IF(AQ205="1",BI205,0)</f>
        <v>0</v>
      </c>
      <c r="AD205" s="51">
        <f>IF(AQ205="7",BH205,0)</f>
        <v>0</v>
      </c>
      <c r="AE205" s="51">
        <f>IF(AQ205="7",BI205,0)</f>
        <v>0</v>
      </c>
      <c r="AF205" s="51">
        <f>IF(AQ205="2",BH205,0)</f>
        <v>0</v>
      </c>
      <c r="AG205" s="51">
        <f>IF(AQ205="2",BI205,0)</f>
        <v>0</v>
      </c>
      <c r="AH205" s="51">
        <f>IF(AQ205="0",BJ205,0)</f>
        <v>0</v>
      </c>
      <c r="AI205" s="39" t="s">
        <v>136</v>
      </c>
      <c r="AJ205" s="30">
        <f>IF(AN205=0,K205,0)</f>
        <v>0</v>
      </c>
      <c r="AK205" s="30">
        <f>IF(AN205=15,K205,0)</f>
        <v>0</v>
      </c>
      <c r="AL205" s="30">
        <f>IF(AN205=21,K205,0)</f>
        <v>0</v>
      </c>
      <c r="AN205" s="51">
        <v>21</v>
      </c>
      <c r="AO205" s="51">
        <f>H205*1</f>
        <v>0</v>
      </c>
      <c r="AP205" s="51">
        <f>H205*(1-1)</f>
        <v>0</v>
      </c>
      <c r="AQ205" s="53" t="s">
        <v>7</v>
      </c>
      <c r="AV205" s="51">
        <f>AW205+AX205</f>
        <v>0</v>
      </c>
      <c r="AW205" s="51">
        <f>G205*AO205</f>
        <v>0</v>
      </c>
      <c r="AX205" s="51">
        <f>G205*AP205</f>
        <v>0</v>
      </c>
      <c r="AY205" s="54" t="s">
        <v>500</v>
      </c>
      <c r="AZ205" s="54" t="s">
        <v>546</v>
      </c>
      <c r="BA205" s="39" t="s">
        <v>555</v>
      </c>
      <c r="BC205" s="51">
        <f>AW205+AX205</f>
        <v>0</v>
      </c>
      <c r="BD205" s="51">
        <f>H205/(100-BE205)*100</f>
        <v>0</v>
      </c>
      <c r="BE205" s="51">
        <v>0</v>
      </c>
      <c r="BF205" s="51">
        <f>M205</f>
        <v>0.0048000000000000004</v>
      </c>
      <c r="BH205" s="30">
        <f>G205*AO205</f>
        <v>0</v>
      </c>
      <c r="BI205" s="30">
        <f>G205*AP205</f>
        <v>0</v>
      </c>
      <c r="BJ205" s="30">
        <f>G205*H205</f>
        <v>0</v>
      </c>
      <c r="BK205" s="30" t="s">
        <v>562</v>
      </c>
      <c r="BL205" s="51">
        <v>87</v>
      </c>
    </row>
    <row r="206" spans="1:47" ht="12.75">
      <c r="A206" s="4"/>
      <c r="B206" s="15" t="s">
        <v>136</v>
      </c>
      <c r="C206" s="15" t="s">
        <v>95</v>
      </c>
      <c r="D206" s="166" t="s">
        <v>356</v>
      </c>
      <c r="E206" s="167"/>
      <c r="F206" s="25" t="s">
        <v>6</v>
      </c>
      <c r="G206" s="25" t="s">
        <v>6</v>
      </c>
      <c r="H206" s="25" t="s">
        <v>6</v>
      </c>
      <c r="I206" s="57">
        <f>SUM(I207:I217)</f>
        <v>0</v>
      </c>
      <c r="J206" s="57">
        <f>SUM(J207:J217)</f>
        <v>0</v>
      </c>
      <c r="K206" s="57">
        <f>SUM(K207:K217)</f>
        <v>0</v>
      </c>
      <c r="L206" s="39"/>
      <c r="M206" s="57">
        <f>SUM(M207:M217)</f>
        <v>35.553260400000006</v>
      </c>
      <c r="N206" s="44"/>
      <c r="O206" s="6"/>
      <c r="AI206" s="39" t="s">
        <v>136</v>
      </c>
      <c r="AS206" s="57">
        <f>SUM(AJ207:AJ217)</f>
        <v>0</v>
      </c>
      <c r="AT206" s="57">
        <f>SUM(AK207:AK217)</f>
        <v>0</v>
      </c>
      <c r="AU206" s="57">
        <f>SUM(AL207:AL217)</f>
        <v>0</v>
      </c>
    </row>
    <row r="207" spans="1:64" ht="12.75">
      <c r="A207" s="5" t="s">
        <v>107</v>
      </c>
      <c r="B207" s="16" t="s">
        <v>136</v>
      </c>
      <c r="C207" s="16" t="s">
        <v>229</v>
      </c>
      <c r="D207" s="161" t="s">
        <v>413</v>
      </c>
      <c r="E207" s="162"/>
      <c r="F207" s="16" t="s">
        <v>458</v>
      </c>
      <c r="G207" s="28">
        <v>5</v>
      </c>
      <c r="H207" s="28">
        <v>0</v>
      </c>
      <c r="I207" s="28">
        <f>G207*AO207</f>
        <v>0</v>
      </c>
      <c r="J207" s="28">
        <f>G207*AP207</f>
        <v>0</v>
      </c>
      <c r="K207" s="28">
        <f>G207*H207</f>
        <v>0</v>
      </c>
      <c r="L207" s="28">
        <v>3.05967</v>
      </c>
      <c r="M207" s="28">
        <f>G207*L207</f>
        <v>15.298350000000001</v>
      </c>
      <c r="N207" s="45" t="s">
        <v>484</v>
      </c>
      <c r="O207" s="6"/>
      <c r="Z207" s="51">
        <f>IF(AQ207="5",BJ207,0)</f>
        <v>0</v>
      </c>
      <c r="AB207" s="51">
        <f>IF(AQ207="1",BH207,0)</f>
        <v>0</v>
      </c>
      <c r="AC207" s="51">
        <f>IF(AQ207="1",BI207,0)</f>
        <v>0</v>
      </c>
      <c r="AD207" s="51">
        <f>IF(AQ207="7",BH207,0)</f>
        <v>0</v>
      </c>
      <c r="AE207" s="51">
        <f>IF(AQ207="7",BI207,0)</f>
        <v>0</v>
      </c>
      <c r="AF207" s="51">
        <f>IF(AQ207="2",BH207,0)</f>
        <v>0</v>
      </c>
      <c r="AG207" s="51">
        <f>IF(AQ207="2",BI207,0)</f>
        <v>0</v>
      </c>
      <c r="AH207" s="51">
        <f>IF(AQ207="0",BJ207,0)</f>
        <v>0</v>
      </c>
      <c r="AI207" s="39" t="s">
        <v>136</v>
      </c>
      <c r="AJ207" s="28">
        <f>IF(AN207=0,K207,0)</f>
        <v>0</v>
      </c>
      <c r="AK207" s="28">
        <f>IF(AN207=15,K207,0)</f>
        <v>0</v>
      </c>
      <c r="AL207" s="28">
        <f>IF(AN207=21,K207,0)</f>
        <v>0</v>
      </c>
      <c r="AN207" s="51">
        <v>21</v>
      </c>
      <c r="AO207" s="51">
        <f>H207*0.764477552301852</f>
        <v>0</v>
      </c>
      <c r="AP207" s="51">
        <f>H207*(1-0.764477552301852)</f>
        <v>0</v>
      </c>
      <c r="AQ207" s="52" t="s">
        <v>7</v>
      </c>
      <c r="AV207" s="51">
        <f>AW207+AX207</f>
        <v>0</v>
      </c>
      <c r="AW207" s="51">
        <f>G207*AO207</f>
        <v>0</v>
      </c>
      <c r="AX207" s="51">
        <f>G207*AP207</f>
        <v>0</v>
      </c>
      <c r="AY207" s="54" t="s">
        <v>518</v>
      </c>
      <c r="AZ207" s="54" t="s">
        <v>546</v>
      </c>
      <c r="BA207" s="39" t="s">
        <v>555</v>
      </c>
      <c r="BC207" s="51">
        <f>AW207+AX207</f>
        <v>0</v>
      </c>
      <c r="BD207" s="51">
        <f>H207/(100-BE207)*100</f>
        <v>0</v>
      </c>
      <c r="BE207" s="51">
        <v>0</v>
      </c>
      <c r="BF207" s="51">
        <f>M207</f>
        <v>15.298350000000001</v>
      </c>
      <c r="BH207" s="28">
        <f>G207*AO207</f>
        <v>0</v>
      </c>
      <c r="BI207" s="28">
        <f>G207*AP207</f>
        <v>0</v>
      </c>
      <c r="BJ207" s="28">
        <f>G207*H207</f>
        <v>0</v>
      </c>
      <c r="BK207" s="28" t="s">
        <v>561</v>
      </c>
      <c r="BL207" s="51">
        <v>89</v>
      </c>
    </row>
    <row r="208" spans="1:15" ht="12.75">
      <c r="A208" s="6"/>
      <c r="C208" s="20" t="s">
        <v>141</v>
      </c>
      <c r="D208" s="163" t="s">
        <v>414</v>
      </c>
      <c r="E208" s="164"/>
      <c r="F208" s="164"/>
      <c r="G208" s="164"/>
      <c r="H208" s="164"/>
      <c r="I208" s="164"/>
      <c r="J208" s="164"/>
      <c r="K208" s="164"/>
      <c r="L208" s="164"/>
      <c r="M208" s="164"/>
      <c r="N208" s="165"/>
      <c r="O208" s="6"/>
    </row>
    <row r="209" spans="1:64" ht="12.75">
      <c r="A209" s="5" t="s">
        <v>108</v>
      </c>
      <c r="B209" s="16" t="s">
        <v>136</v>
      </c>
      <c r="C209" s="16" t="s">
        <v>230</v>
      </c>
      <c r="D209" s="161" t="s">
        <v>415</v>
      </c>
      <c r="E209" s="162"/>
      <c r="F209" s="16" t="s">
        <v>458</v>
      </c>
      <c r="G209" s="28">
        <v>5</v>
      </c>
      <c r="H209" s="28">
        <v>0</v>
      </c>
      <c r="I209" s="28">
        <f>G209*AO209</f>
        <v>0</v>
      </c>
      <c r="J209" s="28">
        <f>G209*AP209</f>
        <v>0</v>
      </c>
      <c r="K209" s="28">
        <f>G209*H209</f>
        <v>0</v>
      </c>
      <c r="L209" s="28">
        <v>2.89066</v>
      </c>
      <c r="M209" s="28">
        <f>G209*L209</f>
        <v>14.4533</v>
      </c>
      <c r="N209" s="45" t="s">
        <v>484</v>
      </c>
      <c r="O209" s="6"/>
      <c r="Z209" s="51">
        <f>IF(AQ209="5",BJ209,0)</f>
        <v>0</v>
      </c>
      <c r="AB209" s="51">
        <f>IF(AQ209="1",BH209,0)</f>
        <v>0</v>
      </c>
      <c r="AC209" s="51">
        <f>IF(AQ209="1",BI209,0)</f>
        <v>0</v>
      </c>
      <c r="AD209" s="51">
        <f>IF(AQ209="7",BH209,0)</f>
        <v>0</v>
      </c>
      <c r="AE209" s="51">
        <f>IF(AQ209="7",BI209,0)</f>
        <v>0</v>
      </c>
      <c r="AF209" s="51">
        <f>IF(AQ209="2",BH209,0)</f>
        <v>0</v>
      </c>
      <c r="AG209" s="51">
        <f>IF(AQ209="2",BI209,0)</f>
        <v>0</v>
      </c>
      <c r="AH209" s="51">
        <f>IF(AQ209="0",BJ209,0)</f>
        <v>0</v>
      </c>
      <c r="AI209" s="39" t="s">
        <v>136</v>
      </c>
      <c r="AJ209" s="28">
        <f>IF(AN209=0,K209,0)</f>
        <v>0</v>
      </c>
      <c r="AK209" s="28">
        <f>IF(AN209=15,K209,0)</f>
        <v>0</v>
      </c>
      <c r="AL209" s="28">
        <f>IF(AN209=21,K209,0)</f>
        <v>0</v>
      </c>
      <c r="AN209" s="51">
        <v>21</v>
      </c>
      <c r="AO209" s="51">
        <f>H209*0.394355475763016</f>
        <v>0</v>
      </c>
      <c r="AP209" s="51">
        <f>H209*(1-0.394355475763016)</f>
        <v>0</v>
      </c>
      <c r="AQ209" s="52" t="s">
        <v>7</v>
      </c>
      <c r="AV209" s="51">
        <f>AW209+AX209</f>
        <v>0</v>
      </c>
      <c r="AW209" s="51">
        <f>G209*AO209</f>
        <v>0</v>
      </c>
      <c r="AX209" s="51">
        <f>G209*AP209</f>
        <v>0</v>
      </c>
      <c r="AY209" s="54" t="s">
        <v>518</v>
      </c>
      <c r="AZ209" s="54" t="s">
        <v>546</v>
      </c>
      <c r="BA209" s="39" t="s">
        <v>555</v>
      </c>
      <c r="BC209" s="51">
        <f>AW209+AX209</f>
        <v>0</v>
      </c>
      <c r="BD209" s="51">
        <f>H209/(100-BE209)*100</f>
        <v>0</v>
      </c>
      <c r="BE209" s="51">
        <v>0</v>
      </c>
      <c r="BF209" s="51">
        <f>M209</f>
        <v>14.4533</v>
      </c>
      <c r="BH209" s="28">
        <f>G209*AO209</f>
        <v>0</v>
      </c>
      <c r="BI209" s="28">
        <f>G209*AP209</f>
        <v>0</v>
      </c>
      <c r="BJ209" s="28">
        <f>G209*H209</f>
        <v>0</v>
      </c>
      <c r="BK209" s="28" t="s">
        <v>561</v>
      </c>
      <c r="BL209" s="51">
        <v>89</v>
      </c>
    </row>
    <row r="210" spans="1:15" ht="12.75">
      <c r="A210" s="6"/>
      <c r="C210" s="20" t="s">
        <v>141</v>
      </c>
      <c r="D210" s="163" t="s">
        <v>416</v>
      </c>
      <c r="E210" s="164"/>
      <c r="F210" s="164"/>
      <c r="G210" s="164"/>
      <c r="H210" s="164"/>
      <c r="I210" s="164"/>
      <c r="J210" s="164"/>
      <c r="K210" s="164"/>
      <c r="L210" s="164"/>
      <c r="M210" s="164"/>
      <c r="N210" s="165"/>
      <c r="O210" s="6"/>
    </row>
    <row r="211" spans="1:64" ht="12.75">
      <c r="A211" s="5" t="s">
        <v>109</v>
      </c>
      <c r="B211" s="16" t="s">
        <v>136</v>
      </c>
      <c r="C211" s="16" t="s">
        <v>231</v>
      </c>
      <c r="D211" s="161" t="s">
        <v>417</v>
      </c>
      <c r="E211" s="162"/>
      <c r="F211" s="16" t="s">
        <v>458</v>
      </c>
      <c r="G211" s="28">
        <v>300</v>
      </c>
      <c r="H211" s="28">
        <v>0</v>
      </c>
      <c r="I211" s="28">
        <f>G211*AO211</f>
        <v>0</v>
      </c>
      <c r="J211" s="28">
        <f>G211*AP211</f>
        <v>0</v>
      </c>
      <c r="K211" s="28">
        <f>G211*H211</f>
        <v>0</v>
      </c>
      <c r="L211" s="28">
        <v>0</v>
      </c>
      <c r="M211" s="28">
        <f>G211*L211</f>
        <v>0</v>
      </c>
      <c r="N211" s="45" t="s">
        <v>484</v>
      </c>
      <c r="O211" s="6"/>
      <c r="Z211" s="51">
        <f>IF(AQ211="5",BJ211,0)</f>
        <v>0</v>
      </c>
      <c r="AB211" s="51">
        <f>IF(AQ211="1",BH211,0)</f>
        <v>0</v>
      </c>
      <c r="AC211" s="51">
        <f>IF(AQ211="1",BI211,0)</f>
        <v>0</v>
      </c>
      <c r="AD211" s="51">
        <f>IF(AQ211="7",BH211,0)</f>
        <v>0</v>
      </c>
      <c r="AE211" s="51">
        <f>IF(AQ211="7",BI211,0)</f>
        <v>0</v>
      </c>
      <c r="AF211" s="51">
        <f>IF(AQ211="2",BH211,0)</f>
        <v>0</v>
      </c>
      <c r="AG211" s="51">
        <f>IF(AQ211="2",BI211,0)</f>
        <v>0</v>
      </c>
      <c r="AH211" s="51">
        <f>IF(AQ211="0",BJ211,0)</f>
        <v>0</v>
      </c>
      <c r="AI211" s="39" t="s">
        <v>136</v>
      </c>
      <c r="AJ211" s="28">
        <f>IF(AN211=0,K211,0)</f>
        <v>0</v>
      </c>
      <c r="AK211" s="28">
        <f>IF(AN211=15,K211,0)</f>
        <v>0</v>
      </c>
      <c r="AL211" s="28">
        <f>IF(AN211=21,K211,0)</f>
        <v>0</v>
      </c>
      <c r="AN211" s="51">
        <v>21</v>
      </c>
      <c r="AO211" s="51">
        <f>H211*0</f>
        <v>0</v>
      </c>
      <c r="AP211" s="51">
        <f>H211*(1-0)</f>
        <v>0</v>
      </c>
      <c r="AQ211" s="52" t="s">
        <v>7</v>
      </c>
      <c r="AV211" s="51">
        <f>AW211+AX211</f>
        <v>0</v>
      </c>
      <c r="AW211" s="51">
        <f>G211*AO211</f>
        <v>0</v>
      </c>
      <c r="AX211" s="51">
        <f>G211*AP211</f>
        <v>0</v>
      </c>
      <c r="AY211" s="54" t="s">
        <v>518</v>
      </c>
      <c r="AZ211" s="54" t="s">
        <v>546</v>
      </c>
      <c r="BA211" s="39" t="s">
        <v>555</v>
      </c>
      <c r="BC211" s="51">
        <f>AW211+AX211</f>
        <v>0</v>
      </c>
      <c r="BD211" s="51">
        <f>H211/(100-BE211)*100</f>
        <v>0</v>
      </c>
      <c r="BE211" s="51">
        <v>0</v>
      </c>
      <c r="BF211" s="51">
        <f>M211</f>
        <v>0</v>
      </c>
      <c r="BH211" s="28">
        <f>G211*AO211</f>
        <v>0</v>
      </c>
      <c r="BI211" s="28">
        <f>G211*AP211</f>
        <v>0</v>
      </c>
      <c r="BJ211" s="28">
        <f>G211*H211</f>
        <v>0</v>
      </c>
      <c r="BK211" s="28" t="s">
        <v>561</v>
      </c>
      <c r="BL211" s="51">
        <v>89</v>
      </c>
    </row>
    <row r="212" spans="1:64" ht="12.75">
      <c r="A212" s="5" t="s">
        <v>110</v>
      </c>
      <c r="B212" s="16" t="s">
        <v>136</v>
      </c>
      <c r="C212" s="16" t="s">
        <v>232</v>
      </c>
      <c r="D212" s="161" t="s">
        <v>418</v>
      </c>
      <c r="E212" s="162"/>
      <c r="F212" s="16" t="s">
        <v>460</v>
      </c>
      <c r="G212" s="28">
        <v>117.76</v>
      </c>
      <c r="H212" s="28">
        <v>0</v>
      </c>
      <c r="I212" s="28">
        <f>G212*AO212</f>
        <v>0</v>
      </c>
      <c r="J212" s="28">
        <f>G212*AP212</f>
        <v>0</v>
      </c>
      <c r="K212" s="28">
        <f>G212*H212</f>
        <v>0</v>
      </c>
      <c r="L212" s="28">
        <v>4E-05</v>
      </c>
      <c r="M212" s="28">
        <f>G212*L212</f>
        <v>0.004710400000000001</v>
      </c>
      <c r="N212" s="45" t="s">
        <v>484</v>
      </c>
      <c r="O212" s="6"/>
      <c r="Z212" s="51">
        <f>IF(AQ212="5",BJ212,0)</f>
        <v>0</v>
      </c>
      <c r="AB212" s="51">
        <f>IF(AQ212="1",BH212,0)</f>
        <v>0</v>
      </c>
      <c r="AC212" s="51">
        <f>IF(AQ212="1",BI212,0)</f>
        <v>0</v>
      </c>
      <c r="AD212" s="51">
        <f>IF(AQ212="7",BH212,0)</f>
        <v>0</v>
      </c>
      <c r="AE212" s="51">
        <f>IF(AQ212="7",BI212,0)</f>
        <v>0</v>
      </c>
      <c r="AF212" s="51">
        <f>IF(AQ212="2",BH212,0)</f>
        <v>0</v>
      </c>
      <c r="AG212" s="51">
        <f>IF(AQ212="2",BI212,0)</f>
        <v>0</v>
      </c>
      <c r="AH212" s="51">
        <f>IF(AQ212="0",BJ212,0)</f>
        <v>0</v>
      </c>
      <c r="AI212" s="39" t="s">
        <v>136</v>
      </c>
      <c r="AJ212" s="28">
        <f>IF(AN212=0,K212,0)</f>
        <v>0</v>
      </c>
      <c r="AK212" s="28">
        <f>IF(AN212=15,K212,0)</f>
        <v>0</v>
      </c>
      <c r="AL212" s="28">
        <f>IF(AN212=21,K212,0)</f>
        <v>0</v>
      </c>
      <c r="AN212" s="51">
        <v>21</v>
      </c>
      <c r="AO212" s="51">
        <f>H212*0.0273722967067706</f>
        <v>0</v>
      </c>
      <c r="AP212" s="51">
        <f>H212*(1-0.0273722967067706)</f>
        <v>0</v>
      </c>
      <c r="AQ212" s="52" t="s">
        <v>7</v>
      </c>
      <c r="AV212" s="51">
        <f>AW212+AX212</f>
        <v>0</v>
      </c>
      <c r="AW212" s="51">
        <f>G212*AO212</f>
        <v>0</v>
      </c>
      <c r="AX212" s="51">
        <f>G212*AP212</f>
        <v>0</v>
      </c>
      <c r="AY212" s="54" t="s">
        <v>518</v>
      </c>
      <c r="AZ212" s="54" t="s">
        <v>546</v>
      </c>
      <c r="BA212" s="39" t="s">
        <v>555</v>
      </c>
      <c r="BC212" s="51">
        <f>AW212+AX212</f>
        <v>0</v>
      </c>
      <c r="BD212" s="51">
        <f>H212/(100-BE212)*100</f>
        <v>0</v>
      </c>
      <c r="BE212" s="51">
        <v>0</v>
      </c>
      <c r="BF212" s="51">
        <f>M212</f>
        <v>0.004710400000000001</v>
      </c>
      <c r="BH212" s="28">
        <f>G212*AO212</f>
        <v>0</v>
      </c>
      <c r="BI212" s="28">
        <f>G212*AP212</f>
        <v>0</v>
      </c>
      <c r="BJ212" s="28">
        <f>G212*H212</f>
        <v>0</v>
      </c>
      <c r="BK212" s="28" t="s">
        <v>561</v>
      </c>
      <c r="BL212" s="51">
        <v>89</v>
      </c>
    </row>
    <row r="213" spans="1:15" ht="12.75">
      <c r="A213" s="6"/>
      <c r="D213" s="21" t="s">
        <v>419</v>
      </c>
      <c r="E213" s="22"/>
      <c r="G213" s="29">
        <v>117.76</v>
      </c>
      <c r="N213" s="47"/>
      <c r="O213" s="6"/>
    </row>
    <row r="214" spans="1:64" ht="12.75">
      <c r="A214" s="8" t="s">
        <v>111</v>
      </c>
      <c r="B214" s="18" t="s">
        <v>136</v>
      </c>
      <c r="C214" s="18" t="s">
        <v>233</v>
      </c>
      <c r="D214" s="175" t="s">
        <v>420</v>
      </c>
      <c r="E214" s="176"/>
      <c r="F214" s="18" t="s">
        <v>458</v>
      </c>
      <c r="G214" s="30">
        <v>300</v>
      </c>
      <c r="H214" s="30">
        <v>0</v>
      </c>
      <c r="I214" s="30">
        <f>G214*AO214</f>
        <v>0</v>
      </c>
      <c r="J214" s="30">
        <f>G214*AP214</f>
        <v>0</v>
      </c>
      <c r="K214" s="30">
        <f>G214*H214</f>
        <v>0</v>
      </c>
      <c r="L214" s="30">
        <v>0.015</v>
      </c>
      <c r="M214" s="30">
        <f>G214*L214</f>
        <v>4.5</v>
      </c>
      <c r="N214" s="48" t="s">
        <v>484</v>
      </c>
      <c r="O214" s="6"/>
      <c r="Z214" s="51">
        <f>IF(AQ214="5",BJ214,0)</f>
        <v>0</v>
      </c>
      <c r="AB214" s="51">
        <f>IF(AQ214="1",BH214,0)</f>
        <v>0</v>
      </c>
      <c r="AC214" s="51">
        <f>IF(AQ214="1",BI214,0)</f>
        <v>0</v>
      </c>
      <c r="AD214" s="51">
        <f>IF(AQ214="7",BH214,0)</f>
        <v>0</v>
      </c>
      <c r="AE214" s="51">
        <f>IF(AQ214="7",BI214,0)</f>
        <v>0</v>
      </c>
      <c r="AF214" s="51">
        <f>IF(AQ214="2",BH214,0)</f>
        <v>0</v>
      </c>
      <c r="AG214" s="51">
        <f>IF(AQ214="2",BI214,0)</f>
        <v>0</v>
      </c>
      <c r="AH214" s="51">
        <f>IF(AQ214="0",BJ214,0)</f>
        <v>0</v>
      </c>
      <c r="AI214" s="39" t="s">
        <v>136</v>
      </c>
      <c r="AJ214" s="30">
        <f>IF(AN214=0,K214,0)</f>
        <v>0</v>
      </c>
      <c r="AK214" s="30">
        <f>IF(AN214=15,K214,0)</f>
        <v>0</v>
      </c>
      <c r="AL214" s="30">
        <f>IF(AN214=21,K214,0)</f>
        <v>0</v>
      </c>
      <c r="AN214" s="51">
        <v>21</v>
      </c>
      <c r="AO214" s="51">
        <f>H214*1</f>
        <v>0</v>
      </c>
      <c r="AP214" s="51">
        <f>H214*(1-1)</f>
        <v>0</v>
      </c>
      <c r="AQ214" s="53" t="s">
        <v>7</v>
      </c>
      <c r="AV214" s="51">
        <f>AW214+AX214</f>
        <v>0</v>
      </c>
      <c r="AW214" s="51">
        <f>G214*AO214</f>
        <v>0</v>
      </c>
      <c r="AX214" s="51">
        <f>G214*AP214</f>
        <v>0</v>
      </c>
      <c r="AY214" s="54" t="s">
        <v>518</v>
      </c>
      <c r="AZ214" s="54" t="s">
        <v>546</v>
      </c>
      <c r="BA214" s="39" t="s">
        <v>555</v>
      </c>
      <c r="BC214" s="51">
        <f>AW214+AX214</f>
        <v>0</v>
      </c>
      <c r="BD214" s="51">
        <f>H214/(100-BE214)*100</f>
        <v>0</v>
      </c>
      <c r="BE214" s="51">
        <v>0</v>
      </c>
      <c r="BF214" s="51">
        <f>M214</f>
        <v>4.5</v>
      </c>
      <c r="BH214" s="30">
        <f>G214*AO214</f>
        <v>0</v>
      </c>
      <c r="BI214" s="30">
        <f>G214*AP214</f>
        <v>0</v>
      </c>
      <c r="BJ214" s="30">
        <f>G214*H214</f>
        <v>0</v>
      </c>
      <c r="BK214" s="30" t="s">
        <v>562</v>
      </c>
      <c r="BL214" s="51">
        <v>89</v>
      </c>
    </row>
    <row r="215" spans="1:64" ht="12.75">
      <c r="A215" s="5" t="s">
        <v>112</v>
      </c>
      <c r="B215" s="16" t="s">
        <v>136</v>
      </c>
      <c r="C215" s="16" t="s">
        <v>234</v>
      </c>
      <c r="D215" s="161" t="s">
        <v>421</v>
      </c>
      <c r="E215" s="162"/>
      <c r="F215" s="16" t="s">
        <v>458</v>
      </c>
      <c r="G215" s="28">
        <v>5</v>
      </c>
      <c r="H215" s="28">
        <v>0</v>
      </c>
      <c r="I215" s="28">
        <f>G215*AO215</f>
        <v>0</v>
      </c>
      <c r="J215" s="28">
        <f>G215*AP215</f>
        <v>0</v>
      </c>
      <c r="K215" s="28">
        <f>G215*H215</f>
        <v>0</v>
      </c>
      <c r="L215" s="28">
        <v>0.09436</v>
      </c>
      <c r="M215" s="28">
        <f>G215*L215</f>
        <v>0.4718</v>
      </c>
      <c r="N215" s="45" t="s">
        <v>484</v>
      </c>
      <c r="O215" s="6"/>
      <c r="Z215" s="51">
        <f>IF(AQ215="5",BJ215,0)</f>
        <v>0</v>
      </c>
      <c r="AB215" s="51">
        <f>IF(AQ215="1",BH215,0)</f>
        <v>0</v>
      </c>
      <c r="AC215" s="51">
        <f>IF(AQ215="1",BI215,0)</f>
        <v>0</v>
      </c>
      <c r="AD215" s="51">
        <f>IF(AQ215="7",BH215,0)</f>
        <v>0</v>
      </c>
      <c r="AE215" s="51">
        <f>IF(AQ215="7",BI215,0)</f>
        <v>0</v>
      </c>
      <c r="AF215" s="51">
        <f>IF(AQ215="2",BH215,0)</f>
        <v>0</v>
      </c>
      <c r="AG215" s="51">
        <f>IF(AQ215="2",BI215,0)</f>
        <v>0</v>
      </c>
      <c r="AH215" s="51">
        <f>IF(AQ215="0",BJ215,0)</f>
        <v>0</v>
      </c>
      <c r="AI215" s="39" t="s">
        <v>136</v>
      </c>
      <c r="AJ215" s="28">
        <f>IF(AN215=0,K215,0)</f>
        <v>0</v>
      </c>
      <c r="AK215" s="28">
        <f>IF(AN215=15,K215,0)</f>
        <v>0</v>
      </c>
      <c r="AL215" s="28">
        <f>IF(AN215=21,K215,0)</f>
        <v>0</v>
      </c>
      <c r="AN215" s="51">
        <v>21</v>
      </c>
      <c r="AO215" s="51">
        <f>H215*0.793473783865197</f>
        <v>0</v>
      </c>
      <c r="AP215" s="51">
        <f>H215*(1-0.793473783865197)</f>
        <v>0</v>
      </c>
      <c r="AQ215" s="52" t="s">
        <v>7</v>
      </c>
      <c r="AV215" s="51">
        <f>AW215+AX215</f>
        <v>0</v>
      </c>
      <c r="AW215" s="51">
        <f>G215*AO215</f>
        <v>0</v>
      </c>
      <c r="AX215" s="51">
        <f>G215*AP215</f>
        <v>0</v>
      </c>
      <c r="AY215" s="54" t="s">
        <v>518</v>
      </c>
      <c r="AZ215" s="54" t="s">
        <v>546</v>
      </c>
      <c r="BA215" s="39" t="s">
        <v>555</v>
      </c>
      <c r="BC215" s="51">
        <f>AW215+AX215</f>
        <v>0</v>
      </c>
      <c r="BD215" s="51">
        <f>H215/(100-BE215)*100</f>
        <v>0</v>
      </c>
      <c r="BE215" s="51">
        <v>0</v>
      </c>
      <c r="BF215" s="51">
        <f>M215</f>
        <v>0.4718</v>
      </c>
      <c r="BH215" s="28">
        <f>G215*AO215</f>
        <v>0</v>
      </c>
      <c r="BI215" s="28">
        <f>G215*AP215</f>
        <v>0</v>
      </c>
      <c r="BJ215" s="28">
        <f>G215*H215</f>
        <v>0</v>
      </c>
      <c r="BK215" s="28" t="s">
        <v>561</v>
      </c>
      <c r="BL215" s="51">
        <v>89</v>
      </c>
    </row>
    <row r="216" spans="1:15" ht="12.75">
      <c r="A216" s="6"/>
      <c r="C216" s="20" t="s">
        <v>141</v>
      </c>
      <c r="D216" s="163" t="s">
        <v>422</v>
      </c>
      <c r="E216" s="164"/>
      <c r="F216" s="164"/>
      <c r="G216" s="164"/>
      <c r="H216" s="164"/>
      <c r="I216" s="164"/>
      <c r="J216" s="164"/>
      <c r="K216" s="164"/>
      <c r="L216" s="164"/>
      <c r="M216" s="164"/>
      <c r="N216" s="165"/>
      <c r="O216" s="6"/>
    </row>
    <row r="217" spans="1:64" ht="12.75">
      <c r="A217" s="5" t="s">
        <v>113</v>
      </c>
      <c r="B217" s="16" t="s">
        <v>136</v>
      </c>
      <c r="C217" s="16" t="s">
        <v>210</v>
      </c>
      <c r="D217" s="161" t="s">
        <v>370</v>
      </c>
      <c r="E217" s="162"/>
      <c r="F217" s="16" t="s">
        <v>458</v>
      </c>
      <c r="G217" s="28">
        <v>5</v>
      </c>
      <c r="H217" s="28">
        <v>0</v>
      </c>
      <c r="I217" s="28">
        <f>G217*AO217</f>
        <v>0</v>
      </c>
      <c r="J217" s="28">
        <f>G217*AP217</f>
        <v>0</v>
      </c>
      <c r="K217" s="28">
        <f>G217*H217</f>
        <v>0</v>
      </c>
      <c r="L217" s="28">
        <v>0.16502</v>
      </c>
      <c r="M217" s="28">
        <f>G217*L217</f>
        <v>0.8251</v>
      </c>
      <c r="N217" s="45" t="s">
        <v>484</v>
      </c>
      <c r="O217" s="6"/>
      <c r="Z217" s="51">
        <f>IF(AQ217="5",BJ217,0)</f>
        <v>0</v>
      </c>
      <c r="AB217" s="51">
        <f>IF(AQ217="1",BH217,0)</f>
        <v>0</v>
      </c>
      <c r="AC217" s="51">
        <f>IF(AQ217="1",BI217,0)</f>
        <v>0</v>
      </c>
      <c r="AD217" s="51">
        <f>IF(AQ217="7",BH217,0)</f>
        <v>0</v>
      </c>
      <c r="AE217" s="51">
        <f>IF(AQ217="7",BI217,0)</f>
        <v>0</v>
      </c>
      <c r="AF217" s="51">
        <f>IF(AQ217="2",BH217,0)</f>
        <v>0</v>
      </c>
      <c r="AG217" s="51">
        <f>IF(AQ217="2",BI217,0)</f>
        <v>0</v>
      </c>
      <c r="AH217" s="51">
        <f>IF(AQ217="0",BJ217,0)</f>
        <v>0</v>
      </c>
      <c r="AI217" s="39" t="s">
        <v>136</v>
      </c>
      <c r="AJ217" s="28">
        <f>IF(AN217=0,K217,0)</f>
        <v>0</v>
      </c>
      <c r="AK217" s="28">
        <f>IF(AN217=15,K217,0)</f>
        <v>0</v>
      </c>
      <c r="AL217" s="28">
        <f>IF(AN217=21,K217,0)</f>
        <v>0</v>
      </c>
      <c r="AN217" s="51">
        <v>21</v>
      </c>
      <c r="AO217" s="51">
        <f>H217*0.81116231461799</f>
        <v>0</v>
      </c>
      <c r="AP217" s="51">
        <f>H217*(1-0.81116231461799)</f>
        <v>0</v>
      </c>
      <c r="AQ217" s="52" t="s">
        <v>7</v>
      </c>
      <c r="AV217" s="51">
        <f>AW217+AX217</f>
        <v>0</v>
      </c>
      <c r="AW217" s="51">
        <f>G217*AO217</f>
        <v>0</v>
      </c>
      <c r="AX217" s="51">
        <f>G217*AP217</f>
        <v>0</v>
      </c>
      <c r="AY217" s="54" t="s">
        <v>518</v>
      </c>
      <c r="AZ217" s="54" t="s">
        <v>546</v>
      </c>
      <c r="BA217" s="39" t="s">
        <v>555</v>
      </c>
      <c r="BC217" s="51">
        <f>AW217+AX217</f>
        <v>0</v>
      </c>
      <c r="BD217" s="51">
        <f>H217/(100-BE217)*100</f>
        <v>0</v>
      </c>
      <c r="BE217" s="51">
        <v>0</v>
      </c>
      <c r="BF217" s="51">
        <f>M217</f>
        <v>0.8251</v>
      </c>
      <c r="BH217" s="28">
        <f>G217*AO217</f>
        <v>0</v>
      </c>
      <c r="BI217" s="28">
        <f>G217*AP217</f>
        <v>0</v>
      </c>
      <c r="BJ217" s="28">
        <f>G217*H217</f>
        <v>0</v>
      </c>
      <c r="BK217" s="28" t="s">
        <v>561</v>
      </c>
      <c r="BL217" s="51">
        <v>89</v>
      </c>
    </row>
    <row r="218" spans="1:15" ht="12.75">
      <c r="A218" s="6"/>
      <c r="C218" s="20" t="s">
        <v>141</v>
      </c>
      <c r="D218" s="163" t="s">
        <v>371</v>
      </c>
      <c r="E218" s="164"/>
      <c r="F218" s="164"/>
      <c r="G218" s="164"/>
      <c r="H218" s="164"/>
      <c r="I218" s="164"/>
      <c r="J218" s="164"/>
      <c r="K218" s="164"/>
      <c r="L218" s="164"/>
      <c r="M218" s="164"/>
      <c r="N218" s="165"/>
      <c r="O218" s="6"/>
    </row>
    <row r="219" spans="1:47" ht="12.75">
      <c r="A219" s="4"/>
      <c r="B219" s="15" t="s">
        <v>136</v>
      </c>
      <c r="C219" s="15" t="s">
        <v>216</v>
      </c>
      <c r="D219" s="166" t="s">
        <v>377</v>
      </c>
      <c r="E219" s="167"/>
      <c r="F219" s="25" t="s">
        <v>6</v>
      </c>
      <c r="G219" s="25" t="s">
        <v>6</v>
      </c>
      <c r="H219" s="25" t="s">
        <v>6</v>
      </c>
      <c r="I219" s="57">
        <f>SUM(I220:I220)</f>
        <v>0</v>
      </c>
      <c r="J219" s="57">
        <f>SUM(J220:J220)</f>
        <v>0</v>
      </c>
      <c r="K219" s="57">
        <f>SUM(K220:K220)</f>
        <v>0</v>
      </c>
      <c r="L219" s="39"/>
      <c r="M219" s="57">
        <f>SUM(M220:M220)</f>
        <v>0</v>
      </c>
      <c r="N219" s="44"/>
      <c r="O219" s="6"/>
      <c r="AI219" s="39" t="s">
        <v>136</v>
      </c>
      <c r="AS219" s="57">
        <f>SUM(AJ220:AJ220)</f>
        <v>0</v>
      </c>
      <c r="AT219" s="57">
        <f>SUM(AK220:AK220)</f>
        <v>0</v>
      </c>
      <c r="AU219" s="57">
        <f>SUM(AL220:AL220)</f>
        <v>0</v>
      </c>
    </row>
    <row r="220" spans="1:64" ht="12.75">
      <c r="A220" s="5" t="s">
        <v>114</v>
      </c>
      <c r="B220" s="16" t="s">
        <v>136</v>
      </c>
      <c r="C220" s="16" t="s">
        <v>217</v>
      </c>
      <c r="D220" s="161" t="s">
        <v>378</v>
      </c>
      <c r="E220" s="162"/>
      <c r="F220" s="16" t="s">
        <v>462</v>
      </c>
      <c r="G220" s="28">
        <v>109.6816</v>
      </c>
      <c r="H220" s="28">
        <v>0</v>
      </c>
      <c r="I220" s="28">
        <f>G220*AO220</f>
        <v>0</v>
      </c>
      <c r="J220" s="28">
        <f>G220*AP220</f>
        <v>0</v>
      </c>
      <c r="K220" s="28">
        <f>G220*H220</f>
        <v>0</v>
      </c>
      <c r="L220" s="28">
        <v>0</v>
      </c>
      <c r="M220" s="28">
        <f>G220*L220</f>
        <v>0</v>
      </c>
      <c r="N220" s="45" t="s">
        <v>484</v>
      </c>
      <c r="O220" s="6"/>
      <c r="Z220" s="51">
        <f>IF(AQ220="5",BJ220,0)</f>
        <v>0</v>
      </c>
      <c r="AB220" s="51">
        <f>IF(AQ220="1",BH220,0)</f>
        <v>0</v>
      </c>
      <c r="AC220" s="51">
        <f>IF(AQ220="1",BI220,0)</f>
        <v>0</v>
      </c>
      <c r="AD220" s="51">
        <f>IF(AQ220="7",BH220,0)</f>
        <v>0</v>
      </c>
      <c r="AE220" s="51">
        <f>IF(AQ220="7",BI220,0)</f>
        <v>0</v>
      </c>
      <c r="AF220" s="51">
        <f>IF(AQ220="2",BH220,0)</f>
        <v>0</v>
      </c>
      <c r="AG220" s="51">
        <f>IF(AQ220="2",BI220,0)</f>
        <v>0</v>
      </c>
      <c r="AH220" s="51">
        <f>IF(AQ220="0",BJ220,0)</f>
        <v>0</v>
      </c>
      <c r="AI220" s="39" t="s">
        <v>136</v>
      </c>
      <c r="AJ220" s="28">
        <f>IF(AN220=0,K220,0)</f>
        <v>0</v>
      </c>
      <c r="AK220" s="28">
        <f>IF(AN220=15,K220,0)</f>
        <v>0</v>
      </c>
      <c r="AL220" s="28">
        <f>IF(AN220=21,K220,0)</f>
        <v>0</v>
      </c>
      <c r="AN220" s="51">
        <v>21</v>
      </c>
      <c r="AO220" s="51">
        <f>H220*0</f>
        <v>0</v>
      </c>
      <c r="AP220" s="51">
        <f>H220*(1-0)</f>
        <v>0</v>
      </c>
      <c r="AQ220" s="52" t="s">
        <v>11</v>
      </c>
      <c r="AV220" s="51">
        <f>AW220+AX220</f>
        <v>0</v>
      </c>
      <c r="AW220" s="51">
        <f>G220*AO220</f>
        <v>0</v>
      </c>
      <c r="AX220" s="51">
        <f>G220*AP220</f>
        <v>0</v>
      </c>
      <c r="AY220" s="54" t="s">
        <v>519</v>
      </c>
      <c r="AZ220" s="54" t="s">
        <v>547</v>
      </c>
      <c r="BA220" s="39" t="s">
        <v>555</v>
      </c>
      <c r="BC220" s="51">
        <f>AW220+AX220</f>
        <v>0</v>
      </c>
      <c r="BD220" s="51">
        <f>H220/(100-BE220)*100</f>
        <v>0</v>
      </c>
      <c r="BE220" s="51">
        <v>0</v>
      </c>
      <c r="BF220" s="51">
        <f>M220</f>
        <v>0</v>
      </c>
      <c r="BH220" s="28">
        <f>G220*AO220</f>
        <v>0</v>
      </c>
      <c r="BI220" s="28">
        <f>G220*AP220</f>
        <v>0</v>
      </c>
      <c r="BJ220" s="28">
        <f>G220*H220</f>
        <v>0</v>
      </c>
      <c r="BK220" s="28" t="s">
        <v>561</v>
      </c>
      <c r="BL220" s="51" t="s">
        <v>216</v>
      </c>
    </row>
    <row r="221" spans="1:15" ht="12.75">
      <c r="A221" s="7"/>
      <c r="B221" s="17" t="s">
        <v>137</v>
      </c>
      <c r="C221" s="17"/>
      <c r="D221" s="173" t="s">
        <v>423</v>
      </c>
      <c r="E221" s="174"/>
      <c r="F221" s="26" t="s">
        <v>6</v>
      </c>
      <c r="G221" s="26" t="s">
        <v>6</v>
      </c>
      <c r="H221" s="26" t="s">
        <v>6</v>
      </c>
      <c r="I221" s="58">
        <f>I222+I224+I228+I235+I246</f>
        <v>0</v>
      </c>
      <c r="J221" s="58">
        <f>J222+J224+J228+J235+J246</f>
        <v>0</v>
      </c>
      <c r="K221" s="58">
        <f>K222+K224+K228+K235+K246</f>
        <v>0</v>
      </c>
      <c r="L221" s="40"/>
      <c r="M221" s="58">
        <f>M222+M224+M228+M235+M246</f>
        <v>54.64339999999999</v>
      </c>
      <c r="N221" s="46"/>
      <c r="O221" s="6"/>
    </row>
    <row r="222" spans="1:47" ht="12.75">
      <c r="A222" s="4"/>
      <c r="B222" s="15" t="s">
        <v>137</v>
      </c>
      <c r="C222" s="15" t="s">
        <v>235</v>
      </c>
      <c r="D222" s="166" t="s">
        <v>424</v>
      </c>
      <c r="E222" s="167"/>
      <c r="F222" s="25" t="s">
        <v>6</v>
      </c>
      <c r="G222" s="25" t="s">
        <v>6</v>
      </c>
      <c r="H222" s="25" t="s">
        <v>6</v>
      </c>
      <c r="I222" s="57">
        <f>SUM(I223:I223)</f>
        <v>0</v>
      </c>
      <c r="J222" s="57">
        <f>SUM(J223:J223)</f>
        <v>0</v>
      </c>
      <c r="K222" s="57">
        <f>SUM(K223:K223)</f>
        <v>0</v>
      </c>
      <c r="L222" s="39"/>
      <c r="M222" s="57">
        <f>SUM(M223:M223)</f>
        <v>0</v>
      </c>
      <c r="N222" s="44"/>
      <c r="O222" s="6"/>
      <c r="AI222" s="39" t="s">
        <v>137</v>
      </c>
      <c r="AS222" s="57">
        <f>SUM(AJ223:AJ223)</f>
        <v>0</v>
      </c>
      <c r="AT222" s="57">
        <f>SUM(AK223:AK223)</f>
        <v>0</v>
      </c>
      <c r="AU222" s="57">
        <f>SUM(AL223:AL223)</f>
        <v>0</v>
      </c>
    </row>
    <row r="223" spans="1:64" ht="12.75">
      <c r="A223" s="5" t="s">
        <v>115</v>
      </c>
      <c r="B223" s="16" t="s">
        <v>137</v>
      </c>
      <c r="C223" s="16" t="s">
        <v>236</v>
      </c>
      <c r="D223" s="161" t="s">
        <v>425</v>
      </c>
      <c r="E223" s="162"/>
      <c r="F223" s="16" t="s">
        <v>462</v>
      </c>
      <c r="G223" s="28">
        <v>54.6434</v>
      </c>
      <c r="H223" s="28">
        <v>0</v>
      </c>
      <c r="I223" s="28">
        <f>G223*AO223</f>
        <v>0</v>
      </c>
      <c r="J223" s="28">
        <f>G223*AP223</f>
        <v>0</v>
      </c>
      <c r="K223" s="28">
        <f>G223*H223</f>
        <v>0</v>
      </c>
      <c r="L223" s="28">
        <v>0</v>
      </c>
      <c r="M223" s="28">
        <f>G223*L223</f>
        <v>0</v>
      </c>
      <c r="N223" s="45" t="s">
        <v>484</v>
      </c>
      <c r="O223" s="6"/>
      <c r="Z223" s="51">
        <f>IF(AQ223="5",BJ223,0)</f>
        <v>0</v>
      </c>
      <c r="AB223" s="51">
        <f>IF(AQ223="1",BH223,0)</f>
        <v>0</v>
      </c>
      <c r="AC223" s="51">
        <f>IF(AQ223="1",BI223,0)</f>
        <v>0</v>
      </c>
      <c r="AD223" s="51">
        <f>IF(AQ223="7",BH223,0)</f>
        <v>0</v>
      </c>
      <c r="AE223" s="51">
        <f>IF(AQ223="7",BI223,0)</f>
        <v>0</v>
      </c>
      <c r="AF223" s="51">
        <f>IF(AQ223="2",BH223,0)</f>
        <v>0</v>
      </c>
      <c r="AG223" s="51">
        <f>IF(AQ223="2",BI223,0)</f>
        <v>0</v>
      </c>
      <c r="AH223" s="51">
        <f>IF(AQ223="0",BJ223,0)</f>
        <v>0</v>
      </c>
      <c r="AI223" s="39" t="s">
        <v>137</v>
      </c>
      <c r="AJ223" s="28">
        <f>IF(AN223=0,K223,0)</f>
        <v>0</v>
      </c>
      <c r="AK223" s="28">
        <f>IF(AN223=15,K223,0)</f>
        <v>0</v>
      </c>
      <c r="AL223" s="28">
        <f>IF(AN223=21,K223,0)</f>
        <v>0</v>
      </c>
      <c r="AN223" s="51">
        <v>21</v>
      </c>
      <c r="AO223" s="51">
        <f>H223*0</f>
        <v>0</v>
      </c>
      <c r="AP223" s="51">
        <f>H223*(1-0)</f>
        <v>0</v>
      </c>
      <c r="AQ223" s="52" t="s">
        <v>11</v>
      </c>
      <c r="AV223" s="51">
        <f>AW223+AX223</f>
        <v>0</v>
      </c>
      <c r="AW223" s="51">
        <f>G223*AO223</f>
        <v>0</v>
      </c>
      <c r="AX223" s="51">
        <f>G223*AP223</f>
        <v>0</v>
      </c>
      <c r="AY223" s="54" t="s">
        <v>520</v>
      </c>
      <c r="AZ223" s="54" t="s">
        <v>548</v>
      </c>
      <c r="BA223" s="39" t="s">
        <v>556</v>
      </c>
      <c r="BC223" s="51">
        <f>AW223+AX223</f>
        <v>0</v>
      </c>
      <c r="BD223" s="51">
        <f>H223/(100-BE223)*100</f>
        <v>0</v>
      </c>
      <c r="BE223" s="51">
        <v>0</v>
      </c>
      <c r="BF223" s="51">
        <f>M223</f>
        <v>0</v>
      </c>
      <c r="BH223" s="28">
        <f>G223*AO223</f>
        <v>0</v>
      </c>
      <c r="BI223" s="28">
        <f>G223*AP223</f>
        <v>0</v>
      </c>
      <c r="BJ223" s="28">
        <f>G223*H223</f>
        <v>0</v>
      </c>
      <c r="BK223" s="28" t="s">
        <v>561</v>
      </c>
      <c r="BL223" s="51" t="s">
        <v>235</v>
      </c>
    </row>
    <row r="224" spans="1:47" ht="12.75">
      <c r="A224" s="4"/>
      <c r="B224" s="15" t="s">
        <v>137</v>
      </c>
      <c r="C224" s="15" t="s">
        <v>143</v>
      </c>
      <c r="D224" s="166" t="s">
        <v>263</v>
      </c>
      <c r="E224" s="167"/>
      <c r="F224" s="25" t="s">
        <v>6</v>
      </c>
      <c r="G224" s="25" t="s">
        <v>6</v>
      </c>
      <c r="H224" s="25" t="s">
        <v>6</v>
      </c>
      <c r="I224" s="57">
        <f>SUM(I225:I227)</f>
        <v>0</v>
      </c>
      <c r="J224" s="57">
        <f>SUM(J225:J227)</f>
        <v>0</v>
      </c>
      <c r="K224" s="57">
        <f>SUM(K225:K227)</f>
        <v>0</v>
      </c>
      <c r="L224" s="39"/>
      <c r="M224" s="57">
        <f>SUM(M225:M227)</f>
        <v>0</v>
      </c>
      <c r="N224" s="44"/>
      <c r="O224" s="6"/>
      <c r="AI224" s="39" t="s">
        <v>137</v>
      </c>
      <c r="AS224" s="57">
        <f>SUM(AJ225:AJ227)</f>
        <v>0</v>
      </c>
      <c r="AT224" s="57">
        <f>SUM(AK225:AK227)</f>
        <v>0</v>
      </c>
      <c r="AU224" s="57">
        <f>SUM(AL225:AL227)</f>
        <v>0</v>
      </c>
    </row>
    <row r="225" spans="1:64" ht="12.75">
      <c r="A225" s="5" t="s">
        <v>116</v>
      </c>
      <c r="B225" s="16" t="s">
        <v>137</v>
      </c>
      <c r="C225" s="16" t="s">
        <v>237</v>
      </c>
      <c r="D225" s="161" t="s">
        <v>426</v>
      </c>
      <c r="E225" s="162"/>
      <c r="F225" s="16" t="s">
        <v>465</v>
      </c>
      <c r="G225" s="28">
        <v>1</v>
      </c>
      <c r="H225" s="28">
        <v>0</v>
      </c>
      <c r="I225" s="28">
        <f>G225*AO225</f>
        <v>0</v>
      </c>
      <c r="J225" s="28">
        <f>G225*AP225</f>
        <v>0</v>
      </c>
      <c r="K225" s="28">
        <f>G225*H225</f>
        <v>0</v>
      </c>
      <c r="L225" s="28">
        <v>0</v>
      </c>
      <c r="M225" s="28">
        <f>G225*L225</f>
        <v>0</v>
      </c>
      <c r="N225" s="45" t="s">
        <v>487</v>
      </c>
      <c r="O225" s="6"/>
      <c r="Z225" s="51">
        <f>IF(AQ225="5",BJ225,0)</f>
        <v>0</v>
      </c>
      <c r="AB225" s="51">
        <f>IF(AQ225="1",BH225,0)</f>
        <v>0</v>
      </c>
      <c r="AC225" s="51">
        <f>IF(AQ225="1",BI225,0)</f>
        <v>0</v>
      </c>
      <c r="AD225" s="51">
        <f>IF(AQ225="7",BH225,0)</f>
        <v>0</v>
      </c>
      <c r="AE225" s="51">
        <f>IF(AQ225="7",BI225,0)</f>
        <v>0</v>
      </c>
      <c r="AF225" s="51">
        <f>IF(AQ225="2",BH225,0)</f>
        <v>0</v>
      </c>
      <c r="AG225" s="51">
        <f>IF(AQ225="2",BI225,0)</f>
        <v>0</v>
      </c>
      <c r="AH225" s="51">
        <f>IF(AQ225="0",BJ225,0)</f>
        <v>0</v>
      </c>
      <c r="AI225" s="39" t="s">
        <v>137</v>
      </c>
      <c r="AJ225" s="28">
        <f>IF(AN225=0,K225,0)</f>
        <v>0</v>
      </c>
      <c r="AK225" s="28">
        <f>IF(AN225=15,K225,0)</f>
        <v>0</v>
      </c>
      <c r="AL225" s="28">
        <f>IF(AN225=21,K225,0)</f>
        <v>0</v>
      </c>
      <c r="AN225" s="51">
        <v>21</v>
      </c>
      <c r="AO225" s="51">
        <f>H225*0</f>
        <v>0</v>
      </c>
      <c r="AP225" s="51">
        <f>H225*(1-0)</f>
        <v>0</v>
      </c>
      <c r="AQ225" s="52" t="s">
        <v>8</v>
      </c>
      <c r="AV225" s="51">
        <f>AW225+AX225</f>
        <v>0</v>
      </c>
      <c r="AW225" s="51">
        <f>G225*AO225</f>
        <v>0</v>
      </c>
      <c r="AX225" s="51">
        <f>G225*AP225</f>
        <v>0</v>
      </c>
      <c r="AY225" s="54" t="s">
        <v>501</v>
      </c>
      <c r="AZ225" s="54" t="s">
        <v>548</v>
      </c>
      <c r="BA225" s="39" t="s">
        <v>556</v>
      </c>
      <c r="BC225" s="51">
        <f>AW225+AX225</f>
        <v>0</v>
      </c>
      <c r="BD225" s="51">
        <f>H225/(100-BE225)*100</f>
        <v>0</v>
      </c>
      <c r="BE225" s="51">
        <v>0</v>
      </c>
      <c r="BF225" s="51">
        <f>M225</f>
        <v>0</v>
      </c>
      <c r="BH225" s="28">
        <f>G225*AO225</f>
        <v>0</v>
      </c>
      <c r="BI225" s="28">
        <f>G225*AP225</f>
        <v>0</v>
      </c>
      <c r="BJ225" s="28">
        <f>G225*H225</f>
        <v>0</v>
      </c>
      <c r="BK225" s="28" t="s">
        <v>561</v>
      </c>
      <c r="BL225" s="51" t="s">
        <v>143</v>
      </c>
    </row>
    <row r="226" spans="1:64" ht="12.75">
      <c r="A226" s="5" t="s">
        <v>117</v>
      </c>
      <c r="B226" s="16" t="s">
        <v>137</v>
      </c>
      <c r="C226" s="16" t="s">
        <v>238</v>
      </c>
      <c r="D226" s="161" t="s">
        <v>427</v>
      </c>
      <c r="E226" s="162"/>
      <c r="F226" s="16" t="s">
        <v>458</v>
      </c>
      <c r="G226" s="28">
        <v>1</v>
      </c>
      <c r="H226" s="28">
        <v>0</v>
      </c>
      <c r="I226" s="28">
        <f>G226*AO226</f>
        <v>0</v>
      </c>
      <c r="J226" s="28">
        <f>G226*AP226</f>
        <v>0</v>
      </c>
      <c r="K226" s="28">
        <f>G226*H226</f>
        <v>0</v>
      </c>
      <c r="L226" s="28">
        <v>0</v>
      </c>
      <c r="M226" s="28">
        <f>G226*L226</f>
        <v>0</v>
      </c>
      <c r="N226" s="45" t="s">
        <v>487</v>
      </c>
      <c r="O226" s="6"/>
      <c r="Z226" s="51">
        <f>IF(AQ226="5",BJ226,0)</f>
        <v>0</v>
      </c>
      <c r="AB226" s="51">
        <f>IF(AQ226="1",BH226,0)</f>
        <v>0</v>
      </c>
      <c r="AC226" s="51">
        <f>IF(AQ226="1",BI226,0)</f>
        <v>0</v>
      </c>
      <c r="AD226" s="51">
        <f>IF(AQ226="7",BH226,0)</f>
        <v>0</v>
      </c>
      <c r="AE226" s="51">
        <f>IF(AQ226="7",BI226,0)</f>
        <v>0</v>
      </c>
      <c r="AF226" s="51">
        <f>IF(AQ226="2",BH226,0)</f>
        <v>0</v>
      </c>
      <c r="AG226" s="51">
        <f>IF(AQ226="2",BI226,0)</f>
        <v>0</v>
      </c>
      <c r="AH226" s="51">
        <f>IF(AQ226="0",BJ226,0)</f>
        <v>0</v>
      </c>
      <c r="AI226" s="39" t="s">
        <v>137</v>
      </c>
      <c r="AJ226" s="28">
        <f>IF(AN226=0,K226,0)</f>
        <v>0</v>
      </c>
      <c r="AK226" s="28">
        <f>IF(AN226=15,K226,0)</f>
        <v>0</v>
      </c>
      <c r="AL226" s="28">
        <f>IF(AN226=21,K226,0)</f>
        <v>0</v>
      </c>
      <c r="AN226" s="51">
        <v>21</v>
      </c>
      <c r="AO226" s="51">
        <f>H226*0.05556</f>
        <v>0</v>
      </c>
      <c r="AP226" s="51">
        <f>H226*(1-0.05556)</f>
        <v>0</v>
      </c>
      <c r="AQ226" s="52" t="s">
        <v>8</v>
      </c>
      <c r="AV226" s="51">
        <f>AW226+AX226</f>
        <v>0</v>
      </c>
      <c r="AW226" s="51">
        <f>G226*AO226</f>
        <v>0</v>
      </c>
      <c r="AX226" s="51">
        <f>G226*AP226</f>
        <v>0</v>
      </c>
      <c r="AY226" s="54" t="s">
        <v>501</v>
      </c>
      <c r="AZ226" s="54" t="s">
        <v>548</v>
      </c>
      <c r="BA226" s="39" t="s">
        <v>556</v>
      </c>
      <c r="BC226" s="51">
        <f>AW226+AX226</f>
        <v>0</v>
      </c>
      <c r="BD226" s="51">
        <f>H226/(100-BE226)*100</f>
        <v>0</v>
      </c>
      <c r="BE226" s="51">
        <v>0</v>
      </c>
      <c r="BF226" s="51">
        <f>M226</f>
        <v>0</v>
      </c>
      <c r="BH226" s="28">
        <f>G226*AO226</f>
        <v>0</v>
      </c>
      <c r="BI226" s="28">
        <f>G226*AP226</f>
        <v>0</v>
      </c>
      <c r="BJ226" s="28">
        <f>G226*H226</f>
        <v>0</v>
      </c>
      <c r="BK226" s="28" t="s">
        <v>561</v>
      </c>
      <c r="BL226" s="51" t="s">
        <v>143</v>
      </c>
    </row>
    <row r="227" spans="1:64" ht="12.75">
      <c r="A227" s="5" t="s">
        <v>118</v>
      </c>
      <c r="B227" s="16" t="s">
        <v>137</v>
      </c>
      <c r="C227" s="16" t="s">
        <v>239</v>
      </c>
      <c r="D227" s="161" t="s">
        <v>428</v>
      </c>
      <c r="E227" s="162"/>
      <c r="F227" s="16" t="s">
        <v>458</v>
      </c>
      <c r="G227" s="28">
        <v>1</v>
      </c>
      <c r="H227" s="28">
        <v>0</v>
      </c>
      <c r="I227" s="28">
        <f>G227*AO227</f>
        <v>0</v>
      </c>
      <c r="J227" s="28">
        <f>G227*AP227</f>
        <v>0</v>
      </c>
      <c r="K227" s="28">
        <f>G227*H227</f>
        <v>0</v>
      </c>
      <c r="L227" s="28">
        <v>0</v>
      </c>
      <c r="M227" s="28">
        <f>G227*L227</f>
        <v>0</v>
      </c>
      <c r="N227" s="45" t="s">
        <v>487</v>
      </c>
      <c r="O227" s="6"/>
      <c r="Z227" s="51">
        <f>IF(AQ227="5",BJ227,0)</f>
        <v>0</v>
      </c>
      <c r="AB227" s="51">
        <f>IF(AQ227="1",BH227,0)</f>
        <v>0</v>
      </c>
      <c r="AC227" s="51">
        <f>IF(AQ227="1",BI227,0)</f>
        <v>0</v>
      </c>
      <c r="AD227" s="51">
        <f>IF(AQ227="7",BH227,0)</f>
        <v>0</v>
      </c>
      <c r="AE227" s="51">
        <f>IF(AQ227="7",BI227,0)</f>
        <v>0</v>
      </c>
      <c r="AF227" s="51">
        <f>IF(AQ227="2",BH227,0)</f>
        <v>0</v>
      </c>
      <c r="AG227" s="51">
        <f>IF(AQ227="2",BI227,0)</f>
        <v>0</v>
      </c>
      <c r="AH227" s="51">
        <f>IF(AQ227="0",BJ227,0)</f>
        <v>0</v>
      </c>
      <c r="AI227" s="39" t="s">
        <v>137</v>
      </c>
      <c r="AJ227" s="28">
        <f>IF(AN227=0,K227,0)</f>
        <v>0</v>
      </c>
      <c r="AK227" s="28">
        <f>IF(AN227=15,K227,0)</f>
        <v>0</v>
      </c>
      <c r="AL227" s="28">
        <f>IF(AN227=21,K227,0)</f>
        <v>0</v>
      </c>
      <c r="AN227" s="51">
        <v>21</v>
      </c>
      <c r="AO227" s="51">
        <f>H227*0</f>
        <v>0</v>
      </c>
      <c r="AP227" s="51">
        <f>H227*(1-0)</f>
        <v>0</v>
      </c>
      <c r="AQ227" s="52" t="s">
        <v>8</v>
      </c>
      <c r="AV227" s="51">
        <f>AW227+AX227</f>
        <v>0</v>
      </c>
      <c r="AW227" s="51">
        <f>G227*AO227</f>
        <v>0</v>
      </c>
      <c r="AX227" s="51">
        <f>G227*AP227</f>
        <v>0</v>
      </c>
      <c r="AY227" s="54" t="s">
        <v>501</v>
      </c>
      <c r="AZ227" s="54" t="s">
        <v>548</v>
      </c>
      <c r="BA227" s="39" t="s">
        <v>556</v>
      </c>
      <c r="BC227" s="51">
        <f>AW227+AX227</f>
        <v>0</v>
      </c>
      <c r="BD227" s="51">
        <f>H227/(100-BE227)*100</f>
        <v>0</v>
      </c>
      <c r="BE227" s="51">
        <v>0</v>
      </c>
      <c r="BF227" s="51">
        <f>M227</f>
        <v>0</v>
      </c>
      <c r="BH227" s="28">
        <f>G227*AO227</f>
        <v>0</v>
      </c>
      <c r="BI227" s="28">
        <f>G227*AP227</f>
        <v>0</v>
      </c>
      <c r="BJ227" s="28">
        <f>G227*H227</f>
        <v>0</v>
      </c>
      <c r="BK227" s="28" t="s">
        <v>561</v>
      </c>
      <c r="BL227" s="51" t="s">
        <v>143</v>
      </c>
    </row>
    <row r="228" spans="1:47" ht="12.75">
      <c r="A228" s="4"/>
      <c r="B228" s="15" t="s">
        <v>137</v>
      </c>
      <c r="C228" s="15" t="s">
        <v>240</v>
      </c>
      <c r="D228" s="166" t="s">
        <v>429</v>
      </c>
      <c r="E228" s="167"/>
      <c r="F228" s="25" t="s">
        <v>6</v>
      </c>
      <c r="G228" s="25" t="s">
        <v>6</v>
      </c>
      <c r="H228" s="25" t="s">
        <v>6</v>
      </c>
      <c r="I228" s="57">
        <f>SUM(I229:I233)</f>
        <v>0</v>
      </c>
      <c r="J228" s="57">
        <f>SUM(J229:J233)</f>
        <v>0</v>
      </c>
      <c r="K228" s="57">
        <f>SUM(K229:K233)</f>
        <v>0</v>
      </c>
      <c r="L228" s="39"/>
      <c r="M228" s="57">
        <f>SUM(M229:M233)</f>
        <v>54.0372</v>
      </c>
      <c r="N228" s="44"/>
      <c r="O228" s="6"/>
      <c r="AI228" s="39" t="s">
        <v>137</v>
      </c>
      <c r="AS228" s="57">
        <f>SUM(AJ229:AJ233)</f>
        <v>0</v>
      </c>
      <c r="AT228" s="57">
        <f>SUM(AK229:AK233)</f>
        <v>0</v>
      </c>
      <c r="AU228" s="57">
        <f>SUM(AL229:AL233)</f>
        <v>0</v>
      </c>
    </row>
    <row r="229" spans="1:64" ht="12.75">
      <c r="A229" s="5" t="s">
        <v>119</v>
      </c>
      <c r="B229" s="16" t="s">
        <v>137</v>
      </c>
      <c r="C229" s="16" t="s">
        <v>241</v>
      </c>
      <c r="D229" s="161" t="s">
        <v>430</v>
      </c>
      <c r="E229" s="162"/>
      <c r="F229" s="16" t="s">
        <v>461</v>
      </c>
      <c r="G229" s="28">
        <v>490</v>
      </c>
      <c r="H229" s="28">
        <v>0</v>
      </c>
      <c r="I229" s="28">
        <f>G229*AO229</f>
        <v>0</v>
      </c>
      <c r="J229" s="28">
        <f>G229*AP229</f>
        <v>0</v>
      </c>
      <c r="K229" s="28">
        <f>G229*H229</f>
        <v>0</v>
      </c>
      <c r="L229" s="28">
        <v>0.11025</v>
      </c>
      <c r="M229" s="28">
        <f>G229*L229</f>
        <v>54.0225</v>
      </c>
      <c r="N229" s="45" t="s">
        <v>484</v>
      </c>
      <c r="O229" s="6"/>
      <c r="Z229" s="51">
        <f>IF(AQ229="5",BJ229,0)</f>
        <v>0</v>
      </c>
      <c r="AB229" s="51">
        <f>IF(AQ229="1",BH229,0)</f>
        <v>0</v>
      </c>
      <c r="AC229" s="51">
        <f>IF(AQ229="1",BI229,0)</f>
        <v>0</v>
      </c>
      <c r="AD229" s="51">
        <f>IF(AQ229="7",BH229,0)</f>
        <v>0</v>
      </c>
      <c r="AE229" s="51">
        <f>IF(AQ229="7",BI229,0)</f>
        <v>0</v>
      </c>
      <c r="AF229" s="51">
        <f>IF(AQ229="2",BH229,0)</f>
        <v>0</v>
      </c>
      <c r="AG229" s="51">
        <f>IF(AQ229="2",BI229,0)</f>
        <v>0</v>
      </c>
      <c r="AH229" s="51">
        <f>IF(AQ229="0",BJ229,0)</f>
        <v>0</v>
      </c>
      <c r="AI229" s="39" t="s">
        <v>137</v>
      </c>
      <c r="AJ229" s="28">
        <f>IF(AN229=0,K229,0)</f>
        <v>0</v>
      </c>
      <c r="AK229" s="28">
        <f>IF(AN229=15,K229,0)</f>
        <v>0</v>
      </c>
      <c r="AL229" s="28">
        <f>IF(AN229=21,K229,0)</f>
        <v>0</v>
      </c>
      <c r="AN229" s="51">
        <v>21</v>
      </c>
      <c r="AO229" s="51">
        <f>H229*0.606543624161074</f>
        <v>0</v>
      </c>
      <c r="AP229" s="51">
        <f>H229*(1-0.606543624161074)</f>
        <v>0</v>
      </c>
      <c r="AQ229" s="52" t="s">
        <v>8</v>
      </c>
      <c r="AV229" s="51">
        <f>AW229+AX229</f>
        <v>0</v>
      </c>
      <c r="AW229" s="51">
        <f>G229*AO229</f>
        <v>0</v>
      </c>
      <c r="AX229" s="51">
        <f>G229*AP229</f>
        <v>0</v>
      </c>
      <c r="AY229" s="54" t="s">
        <v>521</v>
      </c>
      <c r="AZ229" s="54" t="s">
        <v>548</v>
      </c>
      <c r="BA229" s="39" t="s">
        <v>556</v>
      </c>
      <c r="BC229" s="51">
        <f>AW229+AX229</f>
        <v>0</v>
      </c>
      <c r="BD229" s="51">
        <f>H229/(100-BE229)*100</f>
        <v>0</v>
      </c>
      <c r="BE229" s="51">
        <v>0</v>
      </c>
      <c r="BF229" s="51">
        <f>M229</f>
        <v>54.0225</v>
      </c>
      <c r="BH229" s="28">
        <f>G229*AO229</f>
        <v>0</v>
      </c>
      <c r="BI229" s="28">
        <f>G229*AP229</f>
        <v>0</v>
      </c>
      <c r="BJ229" s="28">
        <f>G229*H229</f>
        <v>0</v>
      </c>
      <c r="BK229" s="28" t="s">
        <v>561</v>
      </c>
      <c r="BL229" s="51" t="s">
        <v>240</v>
      </c>
    </row>
    <row r="230" spans="1:15" ht="12.75">
      <c r="A230" s="6"/>
      <c r="C230" s="20" t="s">
        <v>141</v>
      </c>
      <c r="D230" s="163" t="s">
        <v>431</v>
      </c>
      <c r="E230" s="164"/>
      <c r="F230" s="164"/>
      <c r="G230" s="164"/>
      <c r="H230" s="164"/>
      <c r="I230" s="164"/>
      <c r="J230" s="164"/>
      <c r="K230" s="164"/>
      <c r="L230" s="164"/>
      <c r="M230" s="164"/>
      <c r="N230" s="165"/>
      <c r="O230" s="6"/>
    </row>
    <row r="231" spans="1:15" ht="12.75">
      <c r="A231" s="6"/>
      <c r="D231" s="21" t="s">
        <v>432</v>
      </c>
      <c r="E231" s="22"/>
      <c r="G231" s="29">
        <v>490</v>
      </c>
      <c r="N231" s="47"/>
      <c r="O231" s="6"/>
    </row>
    <row r="232" spans="1:64" ht="12.75">
      <c r="A232" s="5" t="s">
        <v>120</v>
      </c>
      <c r="B232" s="16" t="s">
        <v>137</v>
      </c>
      <c r="C232" s="16" t="s">
        <v>242</v>
      </c>
      <c r="D232" s="161" t="s">
        <v>433</v>
      </c>
      <c r="E232" s="162"/>
      <c r="F232" s="16" t="s">
        <v>461</v>
      </c>
      <c r="G232" s="28">
        <v>245</v>
      </c>
      <c r="H232" s="28">
        <v>0</v>
      </c>
      <c r="I232" s="28">
        <f>G232*AO232</f>
        <v>0</v>
      </c>
      <c r="J232" s="28">
        <f>G232*AP232</f>
        <v>0</v>
      </c>
      <c r="K232" s="28">
        <f>G232*H232</f>
        <v>0</v>
      </c>
      <c r="L232" s="28">
        <v>0</v>
      </c>
      <c r="M232" s="28">
        <f>G232*L232</f>
        <v>0</v>
      </c>
      <c r="N232" s="45" t="s">
        <v>484</v>
      </c>
      <c r="O232" s="6"/>
      <c r="Z232" s="51">
        <f>IF(AQ232="5",BJ232,0)</f>
        <v>0</v>
      </c>
      <c r="AB232" s="51">
        <f>IF(AQ232="1",BH232,0)</f>
        <v>0</v>
      </c>
      <c r="AC232" s="51">
        <f>IF(AQ232="1",BI232,0)</f>
        <v>0</v>
      </c>
      <c r="AD232" s="51">
        <f>IF(AQ232="7",BH232,0)</f>
        <v>0</v>
      </c>
      <c r="AE232" s="51">
        <f>IF(AQ232="7",BI232,0)</f>
        <v>0</v>
      </c>
      <c r="AF232" s="51">
        <f>IF(AQ232="2",BH232,0)</f>
        <v>0</v>
      </c>
      <c r="AG232" s="51">
        <f>IF(AQ232="2",BI232,0)</f>
        <v>0</v>
      </c>
      <c r="AH232" s="51">
        <f>IF(AQ232="0",BJ232,0)</f>
        <v>0</v>
      </c>
      <c r="AI232" s="39" t="s">
        <v>137</v>
      </c>
      <c r="AJ232" s="28">
        <f>IF(AN232=0,K232,0)</f>
        <v>0</v>
      </c>
      <c r="AK232" s="28">
        <f>IF(AN232=15,K232,0)</f>
        <v>0</v>
      </c>
      <c r="AL232" s="28">
        <f>IF(AN232=21,K232,0)</f>
        <v>0</v>
      </c>
      <c r="AN232" s="51">
        <v>21</v>
      </c>
      <c r="AO232" s="51">
        <f>H232*0</f>
        <v>0</v>
      </c>
      <c r="AP232" s="51">
        <f>H232*(1-0)</f>
        <v>0</v>
      </c>
      <c r="AQ232" s="52" t="s">
        <v>8</v>
      </c>
      <c r="AV232" s="51">
        <f>AW232+AX232</f>
        <v>0</v>
      </c>
      <c r="AW232" s="51">
        <f>G232*AO232</f>
        <v>0</v>
      </c>
      <c r="AX232" s="51">
        <f>G232*AP232</f>
        <v>0</v>
      </c>
      <c r="AY232" s="54" t="s">
        <v>521</v>
      </c>
      <c r="AZ232" s="54" t="s">
        <v>548</v>
      </c>
      <c r="BA232" s="39" t="s">
        <v>556</v>
      </c>
      <c r="BC232" s="51">
        <f>AW232+AX232</f>
        <v>0</v>
      </c>
      <c r="BD232" s="51">
        <f>H232/(100-BE232)*100</f>
        <v>0</v>
      </c>
      <c r="BE232" s="51">
        <v>0</v>
      </c>
      <c r="BF232" s="51">
        <f>M232</f>
        <v>0</v>
      </c>
      <c r="BH232" s="28">
        <f>G232*AO232</f>
        <v>0</v>
      </c>
      <c r="BI232" s="28">
        <f>G232*AP232</f>
        <v>0</v>
      </c>
      <c r="BJ232" s="28">
        <f>G232*H232</f>
        <v>0</v>
      </c>
      <c r="BK232" s="28" t="s">
        <v>561</v>
      </c>
      <c r="BL232" s="51" t="s">
        <v>240</v>
      </c>
    </row>
    <row r="233" spans="1:64" ht="12.75">
      <c r="A233" s="5" t="s">
        <v>121</v>
      </c>
      <c r="B233" s="16" t="s">
        <v>137</v>
      </c>
      <c r="C233" s="16" t="s">
        <v>243</v>
      </c>
      <c r="D233" s="161" t="s">
        <v>434</v>
      </c>
      <c r="E233" s="162"/>
      <c r="F233" s="16" t="s">
        <v>461</v>
      </c>
      <c r="G233" s="28">
        <v>245</v>
      </c>
      <c r="H233" s="28">
        <v>0</v>
      </c>
      <c r="I233" s="28">
        <f>G233*AO233</f>
        <v>0</v>
      </c>
      <c r="J233" s="28">
        <f>G233*AP233</f>
        <v>0</v>
      </c>
      <c r="K233" s="28">
        <f>G233*H233</f>
        <v>0</v>
      </c>
      <c r="L233" s="28">
        <v>6E-05</v>
      </c>
      <c r="M233" s="28">
        <f>G233*L233</f>
        <v>0.0147</v>
      </c>
      <c r="N233" s="45" t="s">
        <v>484</v>
      </c>
      <c r="O233" s="6"/>
      <c r="Z233" s="51">
        <f>IF(AQ233="5",BJ233,0)</f>
        <v>0</v>
      </c>
      <c r="AB233" s="51">
        <f>IF(AQ233="1",BH233,0)</f>
        <v>0</v>
      </c>
      <c r="AC233" s="51">
        <f>IF(AQ233="1",BI233,0)</f>
        <v>0</v>
      </c>
      <c r="AD233" s="51">
        <f>IF(AQ233="7",BH233,0)</f>
        <v>0</v>
      </c>
      <c r="AE233" s="51">
        <f>IF(AQ233="7",BI233,0)</f>
        <v>0</v>
      </c>
      <c r="AF233" s="51">
        <f>IF(AQ233="2",BH233,0)</f>
        <v>0</v>
      </c>
      <c r="AG233" s="51">
        <f>IF(AQ233="2",BI233,0)</f>
        <v>0</v>
      </c>
      <c r="AH233" s="51">
        <f>IF(AQ233="0",BJ233,0)</f>
        <v>0</v>
      </c>
      <c r="AI233" s="39" t="s">
        <v>137</v>
      </c>
      <c r="AJ233" s="28">
        <f>IF(AN233=0,K233,0)</f>
        <v>0</v>
      </c>
      <c r="AK233" s="28">
        <f>IF(AN233=15,K233,0)</f>
        <v>0</v>
      </c>
      <c r="AL233" s="28">
        <f>IF(AN233=21,K233,0)</f>
        <v>0</v>
      </c>
      <c r="AN233" s="51">
        <v>21</v>
      </c>
      <c r="AO233" s="51">
        <f>H233*0.361878453038674</f>
        <v>0</v>
      </c>
      <c r="AP233" s="51">
        <f>H233*(1-0.361878453038674)</f>
        <v>0</v>
      </c>
      <c r="AQ233" s="52" t="s">
        <v>8</v>
      </c>
      <c r="AV233" s="51">
        <f>AW233+AX233</f>
        <v>0</v>
      </c>
      <c r="AW233" s="51">
        <f>G233*AO233</f>
        <v>0</v>
      </c>
      <c r="AX233" s="51">
        <f>G233*AP233</f>
        <v>0</v>
      </c>
      <c r="AY233" s="54" t="s">
        <v>521</v>
      </c>
      <c r="AZ233" s="54" t="s">
        <v>548</v>
      </c>
      <c r="BA233" s="39" t="s">
        <v>556</v>
      </c>
      <c r="BC233" s="51">
        <f>AW233+AX233</f>
        <v>0</v>
      </c>
      <c r="BD233" s="51">
        <f>H233/(100-BE233)*100</f>
        <v>0</v>
      </c>
      <c r="BE233" s="51">
        <v>0</v>
      </c>
      <c r="BF233" s="51">
        <f>M233</f>
        <v>0.0147</v>
      </c>
      <c r="BH233" s="28">
        <f>G233*AO233</f>
        <v>0</v>
      </c>
      <c r="BI233" s="28">
        <f>G233*AP233</f>
        <v>0</v>
      </c>
      <c r="BJ233" s="28">
        <f>G233*H233</f>
        <v>0</v>
      </c>
      <c r="BK233" s="28" t="s">
        <v>561</v>
      </c>
      <c r="BL233" s="51" t="s">
        <v>240</v>
      </c>
    </row>
    <row r="234" spans="1:15" ht="12.75">
      <c r="A234" s="6"/>
      <c r="C234" s="20" t="s">
        <v>141</v>
      </c>
      <c r="D234" s="163" t="s">
        <v>435</v>
      </c>
      <c r="E234" s="164"/>
      <c r="F234" s="164"/>
      <c r="G234" s="164"/>
      <c r="H234" s="164"/>
      <c r="I234" s="164"/>
      <c r="J234" s="164"/>
      <c r="K234" s="164"/>
      <c r="L234" s="164"/>
      <c r="M234" s="164"/>
      <c r="N234" s="165"/>
      <c r="O234" s="6"/>
    </row>
    <row r="235" spans="1:47" ht="12.75">
      <c r="A235" s="4"/>
      <c r="B235" s="15" t="s">
        <v>137</v>
      </c>
      <c r="C235" s="15" t="s">
        <v>244</v>
      </c>
      <c r="D235" s="166" t="s">
        <v>436</v>
      </c>
      <c r="E235" s="167"/>
      <c r="F235" s="25" t="s">
        <v>6</v>
      </c>
      <c r="G235" s="25" t="s">
        <v>6</v>
      </c>
      <c r="H235" s="25" t="s">
        <v>6</v>
      </c>
      <c r="I235" s="57">
        <f>SUM(I236:I244)</f>
        <v>0</v>
      </c>
      <c r="J235" s="57">
        <f>SUM(J236:J244)</f>
        <v>0</v>
      </c>
      <c r="K235" s="57">
        <f>SUM(K236:K244)</f>
        <v>0</v>
      </c>
      <c r="L235" s="39"/>
      <c r="M235" s="57">
        <f>SUM(M236:M244)</f>
        <v>0.4466</v>
      </c>
      <c r="N235" s="44"/>
      <c r="O235" s="6"/>
      <c r="AI235" s="39" t="s">
        <v>137</v>
      </c>
      <c r="AS235" s="57">
        <f>SUM(AJ236:AJ244)</f>
        <v>0</v>
      </c>
      <c r="AT235" s="57">
        <f>SUM(AK236:AK244)</f>
        <v>0</v>
      </c>
      <c r="AU235" s="57">
        <f>SUM(AL236:AL244)</f>
        <v>0</v>
      </c>
    </row>
    <row r="236" spans="1:64" ht="12.75">
      <c r="A236" s="5" t="s">
        <v>122</v>
      </c>
      <c r="B236" s="16" t="s">
        <v>137</v>
      </c>
      <c r="C236" s="16" t="s">
        <v>245</v>
      </c>
      <c r="D236" s="161" t="s">
        <v>437</v>
      </c>
      <c r="E236" s="162"/>
      <c r="F236" s="16" t="s">
        <v>461</v>
      </c>
      <c r="G236" s="28">
        <v>280</v>
      </c>
      <c r="H236" s="28">
        <v>0</v>
      </c>
      <c r="I236" s="28">
        <f>G236*AO236</f>
        <v>0</v>
      </c>
      <c r="J236" s="28">
        <f>G236*AP236</f>
        <v>0</v>
      </c>
      <c r="K236" s="28">
        <f>G236*H236</f>
        <v>0</v>
      </c>
      <c r="L236" s="28">
        <v>0.00056</v>
      </c>
      <c r="M236" s="28">
        <f>G236*L236</f>
        <v>0.1568</v>
      </c>
      <c r="N236" s="45" t="s">
        <v>484</v>
      </c>
      <c r="O236" s="6"/>
      <c r="Z236" s="51">
        <f>IF(AQ236="5",BJ236,0)</f>
        <v>0</v>
      </c>
      <c r="AB236" s="51">
        <f>IF(AQ236="1",BH236,0)</f>
        <v>0</v>
      </c>
      <c r="AC236" s="51">
        <f>IF(AQ236="1",BI236,0)</f>
        <v>0</v>
      </c>
      <c r="AD236" s="51">
        <f>IF(AQ236="7",BH236,0)</f>
        <v>0</v>
      </c>
      <c r="AE236" s="51">
        <f>IF(AQ236="7",BI236,0)</f>
        <v>0</v>
      </c>
      <c r="AF236" s="51">
        <f>IF(AQ236="2",BH236,0)</f>
        <v>0</v>
      </c>
      <c r="AG236" s="51">
        <f>IF(AQ236="2",BI236,0)</f>
        <v>0</v>
      </c>
      <c r="AH236" s="51">
        <f>IF(AQ236="0",BJ236,0)</f>
        <v>0</v>
      </c>
      <c r="AI236" s="39" t="s">
        <v>137</v>
      </c>
      <c r="AJ236" s="28">
        <f>IF(AN236=0,K236,0)</f>
        <v>0</v>
      </c>
      <c r="AK236" s="28">
        <f>IF(AN236=15,K236,0)</f>
        <v>0</v>
      </c>
      <c r="AL236" s="28">
        <f>IF(AN236=21,K236,0)</f>
        <v>0</v>
      </c>
      <c r="AN236" s="51">
        <v>21</v>
      </c>
      <c r="AO236" s="51">
        <f>H236*0.812888888888889</f>
        <v>0</v>
      </c>
      <c r="AP236" s="51">
        <f>H236*(1-0.812888888888889)</f>
        <v>0</v>
      </c>
      <c r="AQ236" s="52" t="s">
        <v>8</v>
      </c>
      <c r="AV236" s="51">
        <f>AW236+AX236</f>
        <v>0</v>
      </c>
      <c r="AW236" s="51">
        <f>G236*AO236</f>
        <v>0</v>
      </c>
      <c r="AX236" s="51">
        <f>G236*AP236</f>
        <v>0</v>
      </c>
      <c r="AY236" s="54" t="s">
        <v>522</v>
      </c>
      <c r="AZ236" s="54" t="s">
        <v>548</v>
      </c>
      <c r="BA236" s="39" t="s">
        <v>556</v>
      </c>
      <c r="BC236" s="51">
        <f>AW236+AX236</f>
        <v>0</v>
      </c>
      <c r="BD236" s="51">
        <f>H236/(100-BE236)*100</f>
        <v>0</v>
      </c>
      <c r="BE236" s="51">
        <v>0</v>
      </c>
      <c r="BF236" s="51">
        <f>M236</f>
        <v>0.1568</v>
      </c>
      <c r="BH236" s="28">
        <f>G236*AO236</f>
        <v>0</v>
      </c>
      <c r="BI236" s="28">
        <f>G236*AP236</f>
        <v>0</v>
      </c>
      <c r="BJ236" s="28">
        <f>G236*H236</f>
        <v>0</v>
      </c>
      <c r="BK236" s="28" t="s">
        <v>561</v>
      </c>
      <c r="BL236" s="51" t="s">
        <v>244</v>
      </c>
    </row>
    <row r="237" spans="1:15" ht="12.75">
      <c r="A237" s="6"/>
      <c r="C237" s="20" t="s">
        <v>141</v>
      </c>
      <c r="D237" s="163" t="s">
        <v>438</v>
      </c>
      <c r="E237" s="164"/>
      <c r="F237" s="164"/>
      <c r="G237" s="164"/>
      <c r="H237" s="164"/>
      <c r="I237" s="164"/>
      <c r="J237" s="164"/>
      <c r="K237" s="164"/>
      <c r="L237" s="164"/>
      <c r="M237" s="164"/>
      <c r="N237" s="165"/>
      <c r="O237" s="6"/>
    </row>
    <row r="238" spans="1:64" ht="12.75">
      <c r="A238" s="5" t="s">
        <v>123</v>
      </c>
      <c r="B238" s="16" t="s">
        <v>137</v>
      </c>
      <c r="C238" s="16" t="s">
        <v>246</v>
      </c>
      <c r="D238" s="161" t="s">
        <v>439</v>
      </c>
      <c r="E238" s="162"/>
      <c r="F238" s="16" t="s">
        <v>461</v>
      </c>
      <c r="G238" s="28">
        <v>280</v>
      </c>
      <c r="H238" s="28">
        <v>0</v>
      </c>
      <c r="I238" s="28">
        <f>G238*AO238</f>
        <v>0</v>
      </c>
      <c r="J238" s="28">
        <f>G238*AP238</f>
        <v>0</v>
      </c>
      <c r="K238" s="28">
        <f>G238*H238</f>
        <v>0</v>
      </c>
      <c r="L238" s="28">
        <v>0.00099</v>
      </c>
      <c r="M238" s="28">
        <f>G238*L238</f>
        <v>0.2772</v>
      </c>
      <c r="N238" s="45" t="s">
        <v>484</v>
      </c>
      <c r="O238" s="6"/>
      <c r="Z238" s="51">
        <f>IF(AQ238="5",BJ238,0)</f>
        <v>0</v>
      </c>
      <c r="AB238" s="51">
        <f>IF(AQ238="1",BH238,0)</f>
        <v>0</v>
      </c>
      <c r="AC238" s="51">
        <f>IF(AQ238="1",BI238,0)</f>
        <v>0</v>
      </c>
      <c r="AD238" s="51">
        <f>IF(AQ238="7",BH238,0)</f>
        <v>0</v>
      </c>
      <c r="AE238" s="51">
        <f>IF(AQ238="7",BI238,0)</f>
        <v>0</v>
      </c>
      <c r="AF238" s="51">
        <f>IF(AQ238="2",BH238,0)</f>
        <v>0</v>
      </c>
      <c r="AG238" s="51">
        <f>IF(AQ238="2",BI238,0)</f>
        <v>0</v>
      </c>
      <c r="AH238" s="51">
        <f>IF(AQ238="0",BJ238,0)</f>
        <v>0</v>
      </c>
      <c r="AI238" s="39" t="s">
        <v>137</v>
      </c>
      <c r="AJ238" s="28">
        <f>IF(AN238=0,K238,0)</f>
        <v>0</v>
      </c>
      <c r="AK238" s="28">
        <f>IF(AN238=15,K238,0)</f>
        <v>0</v>
      </c>
      <c r="AL238" s="28">
        <f>IF(AN238=21,K238,0)</f>
        <v>0</v>
      </c>
      <c r="AN238" s="51">
        <v>21</v>
      </c>
      <c r="AO238" s="51">
        <f>H238*0.267512618519742</f>
        <v>0</v>
      </c>
      <c r="AP238" s="51">
        <f>H238*(1-0.267512618519742)</f>
        <v>0</v>
      </c>
      <c r="AQ238" s="52" t="s">
        <v>8</v>
      </c>
      <c r="AV238" s="51">
        <f>AW238+AX238</f>
        <v>0</v>
      </c>
      <c r="AW238" s="51">
        <f>G238*AO238</f>
        <v>0</v>
      </c>
      <c r="AX238" s="51">
        <f>G238*AP238</f>
        <v>0</v>
      </c>
      <c r="AY238" s="54" t="s">
        <v>522</v>
      </c>
      <c r="AZ238" s="54" t="s">
        <v>548</v>
      </c>
      <c r="BA238" s="39" t="s">
        <v>556</v>
      </c>
      <c r="BC238" s="51">
        <f>AW238+AX238</f>
        <v>0</v>
      </c>
      <c r="BD238" s="51">
        <f>H238/(100-BE238)*100</f>
        <v>0</v>
      </c>
      <c r="BE238" s="51">
        <v>0</v>
      </c>
      <c r="BF238" s="51">
        <f>M238</f>
        <v>0.2772</v>
      </c>
      <c r="BH238" s="28">
        <f>G238*AO238</f>
        <v>0</v>
      </c>
      <c r="BI238" s="28">
        <f>G238*AP238</f>
        <v>0</v>
      </c>
      <c r="BJ238" s="28">
        <f>G238*H238</f>
        <v>0</v>
      </c>
      <c r="BK238" s="28" t="s">
        <v>561</v>
      </c>
      <c r="BL238" s="51" t="s">
        <v>244</v>
      </c>
    </row>
    <row r="239" spans="1:15" ht="12.75">
      <c r="A239" s="6"/>
      <c r="C239" s="20" t="s">
        <v>141</v>
      </c>
      <c r="D239" s="163" t="s">
        <v>440</v>
      </c>
      <c r="E239" s="164"/>
      <c r="F239" s="164"/>
      <c r="G239" s="164"/>
      <c r="H239" s="164"/>
      <c r="I239" s="164"/>
      <c r="J239" s="164"/>
      <c r="K239" s="164"/>
      <c r="L239" s="164"/>
      <c r="M239" s="164"/>
      <c r="N239" s="165"/>
      <c r="O239" s="6"/>
    </row>
    <row r="240" spans="1:64" ht="12.75">
      <c r="A240" s="5" t="s">
        <v>124</v>
      </c>
      <c r="B240" s="16" t="s">
        <v>137</v>
      </c>
      <c r="C240" s="16" t="s">
        <v>247</v>
      </c>
      <c r="D240" s="161" t="s">
        <v>441</v>
      </c>
      <c r="E240" s="162"/>
      <c r="F240" s="16" t="s">
        <v>461</v>
      </c>
      <c r="G240" s="28">
        <v>10</v>
      </c>
      <c r="H240" s="28">
        <v>0</v>
      </c>
      <c r="I240" s="28">
        <f>G240*AO240</f>
        <v>0</v>
      </c>
      <c r="J240" s="28">
        <f>G240*AP240</f>
        <v>0</v>
      </c>
      <c r="K240" s="28">
        <f>G240*H240</f>
        <v>0</v>
      </c>
      <c r="L240" s="28">
        <v>0.00105</v>
      </c>
      <c r="M240" s="28">
        <f>G240*L240</f>
        <v>0.010499999999999999</v>
      </c>
      <c r="N240" s="45" t="s">
        <v>484</v>
      </c>
      <c r="O240" s="6"/>
      <c r="Z240" s="51">
        <f>IF(AQ240="5",BJ240,0)</f>
        <v>0</v>
      </c>
      <c r="AB240" s="51">
        <f>IF(AQ240="1",BH240,0)</f>
        <v>0</v>
      </c>
      <c r="AC240" s="51">
        <f>IF(AQ240="1",BI240,0)</f>
        <v>0</v>
      </c>
      <c r="AD240" s="51">
        <f>IF(AQ240="7",BH240,0)</f>
        <v>0</v>
      </c>
      <c r="AE240" s="51">
        <f>IF(AQ240="7",BI240,0)</f>
        <v>0</v>
      </c>
      <c r="AF240" s="51">
        <f>IF(AQ240="2",BH240,0)</f>
        <v>0</v>
      </c>
      <c r="AG240" s="51">
        <f>IF(AQ240="2",BI240,0)</f>
        <v>0</v>
      </c>
      <c r="AH240" s="51">
        <f>IF(AQ240="0",BJ240,0)</f>
        <v>0</v>
      </c>
      <c r="AI240" s="39" t="s">
        <v>137</v>
      </c>
      <c r="AJ240" s="28">
        <f>IF(AN240=0,K240,0)</f>
        <v>0</v>
      </c>
      <c r="AK240" s="28">
        <f>IF(AN240=15,K240,0)</f>
        <v>0</v>
      </c>
      <c r="AL240" s="28">
        <f>IF(AN240=21,K240,0)</f>
        <v>0</v>
      </c>
      <c r="AN240" s="51">
        <v>21</v>
      </c>
      <c r="AO240" s="51">
        <f>H240*0.421396825396825</f>
        <v>0</v>
      </c>
      <c r="AP240" s="51">
        <f>H240*(1-0.421396825396825)</f>
        <v>0</v>
      </c>
      <c r="AQ240" s="52" t="s">
        <v>8</v>
      </c>
      <c r="AV240" s="51">
        <f>AW240+AX240</f>
        <v>0</v>
      </c>
      <c r="AW240" s="51">
        <f>G240*AO240</f>
        <v>0</v>
      </c>
      <c r="AX240" s="51">
        <f>G240*AP240</f>
        <v>0</v>
      </c>
      <c r="AY240" s="54" t="s">
        <v>522</v>
      </c>
      <c r="AZ240" s="54" t="s">
        <v>548</v>
      </c>
      <c r="BA240" s="39" t="s">
        <v>556</v>
      </c>
      <c r="BC240" s="51">
        <f>AW240+AX240</f>
        <v>0</v>
      </c>
      <c r="BD240" s="51">
        <f>H240/(100-BE240)*100</f>
        <v>0</v>
      </c>
      <c r="BE240" s="51">
        <v>0</v>
      </c>
      <c r="BF240" s="51">
        <f>M240</f>
        <v>0.010499999999999999</v>
      </c>
      <c r="BH240" s="28">
        <f>G240*AO240</f>
        <v>0</v>
      </c>
      <c r="BI240" s="28">
        <f>G240*AP240</f>
        <v>0</v>
      </c>
      <c r="BJ240" s="28">
        <f>G240*H240</f>
        <v>0</v>
      </c>
      <c r="BK240" s="28" t="s">
        <v>561</v>
      </c>
      <c r="BL240" s="51" t="s">
        <v>244</v>
      </c>
    </row>
    <row r="241" spans="1:15" ht="12.75">
      <c r="A241" s="6"/>
      <c r="C241" s="20" t="s">
        <v>141</v>
      </c>
      <c r="D241" s="163" t="s">
        <v>442</v>
      </c>
      <c r="E241" s="164"/>
      <c r="F241" s="164"/>
      <c r="G241" s="164"/>
      <c r="H241" s="164"/>
      <c r="I241" s="164"/>
      <c r="J241" s="164"/>
      <c r="K241" s="164"/>
      <c r="L241" s="164"/>
      <c r="M241" s="164"/>
      <c r="N241" s="165"/>
      <c r="O241" s="6"/>
    </row>
    <row r="242" spans="1:64" ht="12.75">
      <c r="A242" s="5" t="s">
        <v>125</v>
      </c>
      <c r="B242" s="16" t="s">
        <v>137</v>
      </c>
      <c r="C242" s="16" t="s">
        <v>248</v>
      </c>
      <c r="D242" s="161" t="s">
        <v>443</v>
      </c>
      <c r="E242" s="162"/>
      <c r="F242" s="16" t="s">
        <v>458</v>
      </c>
      <c r="G242" s="28">
        <v>5</v>
      </c>
      <c r="H242" s="28">
        <v>0</v>
      </c>
      <c r="I242" s="28">
        <f>G242*AO242</f>
        <v>0</v>
      </c>
      <c r="J242" s="28">
        <f>G242*AP242</f>
        <v>0</v>
      </c>
      <c r="K242" s="28">
        <f>G242*H242</f>
        <v>0</v>
      </c>
      <c r="L242" s="28">
        <v>0.00021</v>
      </c>
      <c r="M242" s="28">
        <f>G242*L242</f>
        <v>0.0010500000000000002</v>
      </c>
      <c r="N242" s="45" t="s">
        <v>484</v>
      </c>
      <c r="O242" s="6"/>
      <c r="Z242" s="51">
        <f>IF(AQ242="5",BJ242,0)</f>
        <v>0</v>
      </c>
      <c r="AB242" s="51">
        <f>IF(AQ242="1",BH242,0)</f>
        <v>0</v>
      </c>
      <c r="AC242" s="51">
        <f>IF(AQ242="1",BI242,0)</f>
        <v>0</v>
      </c>
      <c r="AD242" s="51">
        <f>IF(AQ242="7",BH242,0)</f>
        <v>0</v>
      </c>
      <c r="AE242" s="51">
        <f>IF(AQ242="7",BI242,0)</f>
        <v>0</v>
      </c>
      <c r="AF242" s="51">
        <f>IF(AQ242="2",BH242,0)</f>
        <v>0</v>
      </c>
      <c r="AG242" s="51">
        <f>IF(AQ242="2",BI242,0)</f>
        <v>0</v>
      </c>
      <c r="AH242" s="51">
        <f>IF(AQ242="0",BJ242,0)</f>
        <v>0</v>
      </c>
      <c r="AI242" s="39" t="s">
        <v>137</v>
      </c>
      <c r="AJ242" s="28">
        <f>IF(AN242=0,K242,0)</f>
        <v>0</v>
      </c>
      <c r="AK242" s="28">
        <f>IF(AN242=15,K242,0)</f>
        <v>0</v>
      </c>
      <c r="AL242" s="28">
        <f>IF(AN242=21,K242,0)</f>
        <v>0</v>
      </c>
      <c r="AN242" s="51">
        <v>21</v>
      </c>
      <c r="AO242" s="51">
        <f>H242*0.137066846595017</f>
        <v>0</v>
      </c>
      <c r="AP242" s="51">
        <f>H242*(1-0.137066846595017)</f>
        <v>0</v>
      </c>
      <c r="AQ242" s="52" t="s">
        <v>8</v>
      </c>
      <c r="AV242" s="51">
        <f>AW242+AX242</f>
        <v>0</v>
      </c>
      <c r="AW242" s="51">
        <f>G242*AO242</f>
        <v>0</v>
      </c>
      <c r="AX242" s="51">
        <f>G242*AP242</f>
        <v>0</v>
      </c>
      <c r="AY242" s="54" t="s">
        <v>522</v>
      </c>
      <c r="AZ242" s="54" t="s">
        <v>548</v>
      </c>
      <c r="BA242" s="39" t="s">
        <v>556</v>
      </c>
      <c r="BC242" s="51">
        <f>AW242+AX242</f>
        <v>0</v>
      </c>
      <c r="BD242" s="51">
        <f>H242/(100-BE242)*100</f>
        <v>0</v>
      </c>
      <c r="BE242" s="51">
        <v>0</v>
      </c>
      <c r="BF242" s="51">
        <f>M242</f>
        <v>0.0010500000000000002</v>
      </c>
      <c r="BH242" s="28">
        <f>G242*AO242</f>
        <v>0</v>
      </c>
      <c r="BI242" s="28">
        <f>G242*AP242</f>
        <v>0</v>
      </c>
      <c r="BJ242" s="28">
        <f>G242*H242</f>
        <v>0</v>
      </c>
      <c r="BK242" s="28" t="s">
        <v>561</v>
      </c>
      <c r="BL242" s="51" t="s">
        <v>244</v>
      </c>
    </row>
    <row r="243" spans="1:15" ht="12.75">
      <c r="A243" s="6"/>
      <c r="C243" s="20" t="s">
        <v>141</v>
      </c>
      <c r="D243" s="163" t="s">
        <v>444</v>
      </c>
      <c r="E243" s="164"/>
      <c r="F243" s="164"/>
      <c r="G243" s="164"/>
      <c r="H243" s="164"/>
      <c r="I243" s="164"/>
      <c r="J243" s="164"/>
      <c r="K243" s="164"/>
      <c r="L243" s="164"/>
      <c r="M243" s="164"/>
      <c r="N243" s="165"/>
      <c r="O243" s="6"/>
    </row>
    <row r="244" spans="1:64" ht="12.75">
      <c r="A244" s="5" t="s">
        <v>126</v>
      </c>
      <c r="B244" s="16" t="s">
        <v>137</v>
      </c>
      <c r="C244" s="16" t="s">
        <v>249</v>
      </c>
      <c r="D244" s="161" t="s">
        <v>443</v>
      </c>
      <c r="E244" s="162"/>
      <c r="F244" s="16" t="s">
        <v>458</v>
      </c>
      <c r="G244" s="28">
        <v>5</v>
      </c>
      <c r="H244" s="28">
        <v>0</v>
      </c>
      <c r="I244" s="28">
        <f>G244*AO244</f>
        <v>0</v>
      </c>
      <c r="J244" s="28">
        <f>G244*AP244</f>
        <v>0</v>
      </c>
      <c r="K244" s="28">
        <f>G244*H244</f>
        <v>0</v>
      </c>
      <c r="L244" s="28">
        <v>0.00021</v>
      </c>
      <c r="M244" s="28">
        <f>G244*L244</f>
        <v>0.0010500000000000002</v>
      </c>
      <c r="N244" s="45" t="s">
        <v>484</v>
      </c>
      <c r="O244" s="6"/>
      <c r="Z244" s="51">
        <f>IF(AQ244="5",BJ244,0)</f>
        <v>0</v>
      </c>
      <c r="AB244" s="51">
        <f>IF(AQ244="1",BH244,0)</f>
        <v>0</v>
      </c>
      <c r="AC244" s="51">
        <f>IF(AQ244="1",BI244,0)</f>
        <v>0</v>
      </c>
      <c r="AD244" s="51">
        <f>IF(AQ244="7",BH244,0)</f>
        <v>0</v>
      </c>
      <c r="AE244" s="51">
        <f>IF(AQ244="7",BI244,0)</f>
        <v>0</v>
      </c>
      <c r="AF244" s="51">
        <f>IF(AQ244="2",BH244,0)</f>
        <v>0</v>
      </c>
      <c r="AG244" s="51">
        <f>IF(AQ244="2",BI244,0)</f>
        <v>0</v>
      </c>
      <c r="AH244" s="51">
        <f>IF(AQ244="0",BJ244,0)</f>
        <v>0</v>
      </c>
      <c r="AI244" s="39" t="s">
        <v>137</v>
      </c>
      <c r="AJ244" s="28">
        <f>IF(AN244=0,K244,0)</f>
        <v>0</v>
      </c>
      <c r="AK244" s="28">
        <f>IF(AN244=15,K244,0)</f>
        <v>0</v>
      </c>
      <c r="AL244" s="28">
        <f>IF(AN244=21,K244,0)</f>
        <v>0</v>
      </c>
      <c r="AN244" s="51">
        <v>21</v>
      </c>
      <c r="AO244" s="51">
        <f>H244*0.139814859225862</f>
        <v>0</v>
      </c>
      <c r="AP244" s="51">
        <f>H244*(1-0.139814859225862)</f>
        <v>0</v>
      </c>
      <c r="AQ244" s="52" t="s">
        <v>8</v>
      </c>
      <c r="AV244" s="51">
        <f>AW244+AX244</f>
        <v>0</v>
      </c>
      <c r="AW244" s="51">
        <f>G244*AO244</f>
        <v>0</v>
      </c>
      <c r="AX244" s="51">
        <f>G244*AP244</f>
        <v>0</v>
      </c>
      <c r="AY244" s="54" t="s">
        <v>522</v>
      </c>
      <c r="AZ244" s="54" t="s">
        <v>548</v>
      </c>
      <c r="BA244" s="39" t="s">
        <v>556</v>
      </c>
      <c r="BC244" s="51">
        <f>AW244+AX244</f>
        <v>0</v>
      </c>
      <c r="BD244" s="51">
        <f>H244/(100-BE244)*100</f>
        <v>0</v>
      </c>
      <c r="BE244" s="51">
        <v>0</v>
      </c>
      <c r="BF244" s="51">
        <f>M244</f>
        <v>0.0010500000000000002</v>
      </c>
      <c r="BH244" s="28">
        <f>G244*AO244</f>
        <v>0</v>
      </c>
      <c r="BI244" s="28">
        <f>G244*AP244</f>
        <v>0</v>
      </c>
      <c r="BJ244" s="28">
        <f>G244*H244</f>
        <v>0</v>
      </c>
      <c r="BK244" s="28" t="s">
        <v>561</v>
      </c>
      <c r="BL244" s="51" t="s">
        <v>244</v>
      </c>
    </row>
    <row r="245" spans="1:15" ht="12.75">
      <c r="A245" s="6"/>
      <c r="C245" s="20" t="s">
        <v>141</v>
      </c>
      <c r="D245" s="163" t="s">
        <v>445</v>
      </c>
      <c r="E245" s="164"/>
      <c r="F245" s="164"/>
      <c r="G245" s="164"/>
      <c r="H245" s="164"/>
      <c r="I245" s="164"/>
      <c r="J245" s="164"/>
      <c r="K245" s="164"/>
      <c r="L245" s="164"/>
      <c r="M245" s="164"/>
      <c r="N245" s="165"/>
      <c r="O245" s="6"/>
    </row>
    <row r="246" spans="1:47" ht="12.75">
      <c r="A246" s="4"/>
      <c r="B246" s="15" t="s">
        <v>137</v>
      </c>
      <c r="C246" s="15"/>
      <c r="D246" s="166" t="s">
        <v>446</v>
      </c>
      <c r="E246" s="167"/>
      <c r="F246" s="25" t="s">
        <v>6</v>
      </c>
      <c r="G246" s="25" t="s">
        <v>6</v>
      </c>
      <c r="H246" s="25" t="s">
        <v>6</v>
      </c>
      <c r="I246" s="57">
        <f>SUM(I247:I248)</f>
        <v>0</v>
      </c>
      <c r="J246" s="57">
        <f>SUM(J247:J248)</f>
        <v>0</v>
      </c>
      <c r="K246" s="57">
        <f>SUM(K247:K248)</f>
        <v>0</v>
      </c>
      <c r="L246" s="39"/>
      <c r="M246" s="57">
        <f>SUM(M247:M248)</f>
        <v>0.1596</v>
      </c>
      <c r="N246" s="44"/>
      <c r="O246" s="6"/>
      <c r="AI246" s="39" t="s">
        <v>137</v>
      </c>
      <c r="AS246" s="57">
        <f>SUM(AJ247:AJ248)</f>
        <v>0</v>
      </c>
      <c r="AT246" s="57">
        <f>SUM(AK247:AK248)</f>
        <v>0</v>
      </c>
      <c r="AU246" s="57">
        <f>SUM(AL247:AL248)</f>
        <v>0</v>
      </c>
    </row>
    <row r="247" spans="1:64" ht="25.5" customHeight="1">
      <c r="A247" s="8" t="s">
        <v>127</v>
      </c>
      <c r="B247" s="18" t="s">
        <v>137</v>
      </c>
      <c r="C247" s="18" t="s">
        <v>250</v>
      </c>
      <c r="D247" s="168" t="s">
        <v>447</v>
      </c>
      <c r="E247" s="169"/>
      <c r="F247" s="18" t="s">
        <v>461</v>
      </c>
      <c r="G247" s="30">
        <v>280</v>
      </c>
      <c r="H247" s="30">
        <v>0</v>
      </c>
      <c r="I247" s="30">
        <f>G247*AO247</f>
        <v>0</v>
      </c>
      <c r="J247" s="30">
        <f>G247*AP247</f>
        <v>0</v>
      </c>
      <c r="K247" s="30">
        <f>G247*H247</f>
        <v>0</v>
      </c>
      <c r="L247" s="30">
        <v>0.00026</v>
      </c>
      <c r="M247" s="30">
        <f>G247*L247</f>
        <v>0.07279999999999999</v>
      </c>
      <c r="N247" s="48" t="s">
        <v>484</v>
      </c>
      <c r="O247" s="6"/>
      <c r="Z247" s="51">
        <f>IF(AQ247="5",BJ247,0)</f>
        <v>0</v>
      </c>
      <c r="AB247" s="51">
        <f>IF(AQ247="1",BH247,0)</f>
        <v>0</v>
      </c>
      <c r="AC247" s="51">
        <f>IF(AQ247="1",BI247,0)</f>
        <v>0</v>
      </c>
      <c r="AD247" s="51">
        <f>IF(AQ247="7",BH247,0)</f>
        <v>0</v>
      </c>
      <c r="AE247" s="51">
        <f>IF(AQ247="7",BI247,0)</f>
        <v>0</v>
      </c>
      <c r="AF247" s="51">
        <f>IF(AQ247="2",BH247,0)</f>
        <v>0</v>
      </c>
      <c r="AG247" s="51">
        <f>IF(AQ247="2",BI247,0)</f>
        <v>0</v>
      </c>
      <c r="AH247" s="51">
        <f>IF(AQ247="0",BJ247,0)</f>
        <v>0</v>
      </c>
      <c r="AI247" s="39" t="s">
        <v>137</v>
      </c>
      <c r="AJ247" s="30">
        <f>IF(AN247=0,K247,0)</f>
        <v>0</v>
      </c>
      <c r="AK247" s="30">
        <f>IF(AN247=15,K247,0)</f>
        <v>0</v>
      </c>
      <c r="AL247" s="30">
        <f>IF(AN247=21,K247,0)</f>
        <v>0</v>
      </c>
      <c r="AN247" s="51">
        <v>21</v>
      </c>
      <c r="AO247" s="51">
        <f>H247*1</f>
        <v>0</v>
      </c>
      <c r="AP247" s="51">
        <f>H247*(1-1)</f>
        <v>0</v>
      </c>
      <c r="AQ247" s="53" t="s">
        <v>498</v>
      </c>
      <c r="AV247" s="51">
        <f>AW247+AX247</f>
        <v>0</v>
      </c>
      <c r="AW247" s="51">
        <f>G247*AO247</f>
        <v>0</v>
      </c>
      <c r="AX247" s="51">
        <f>G247*AP247</f>
        <v>0</v>
      </c>
      <c r="AY247" s="54" t="s">
        <v>523</v>
      </c>
      <c r="AZ247" s="54" t="s">
        <v>549</v>
      </c>
      <c r="BA247" s="39" t="s">
        <v>556</v>
      </c>
      <c r="BC247" s="51">
        <f>AW247+AX247</f>
        <v>0</v>
      </c>
      <c r="BD247" s="51">
        <f>H247/(100-BE247)*100</f>
        <v>0</v>
      </c>
      <c r="BE247" s="51">
        <v>0</v>
      </c>
      <c r="BF247" s="51">
        <f>M247</f>
        <v>0.07279999999999999</v>
      </c>
      <c r="BH247" s="30">
        <f>G247*AO247</f>
        <v>0</v>
      </c>
      <c r="BI247" s="30">
        <f>G247*AP247</f>
        <v>0</v>
      </c>
      <c r="BJ247" s="30">
        <f>G247*H247</f>
        <v>0</v>
      </c>
      <c r="BK247" s="30" t="s">
        <v>562</v>
      </c>
      <c r="BL247" s="51"/>
    </row>
    <row r="248" spans="1:64" ht="24.75" customHeight="1">
      <c r="A248" s="9" t="s">
        <v>128</v>
      </c>
      <c r="B248" s="19" t="s">
        <v>137</v>
      </c>
      <c r="C248" s="19" t="s">
        <v>251</v>
      </c>
      <c r="D248" s="170" t="s">
        <v>448</v>
      </c>
      <c r="E248" s="171"/>
      <c r="F248" s="19" t="s">
        <v>461</v>
      </c>
      <c r="G248" s="31">
        <v>280</v>
      </c>
      <c r="H248" s="31">
        <v>0</v>
      </c>
      <c r="I248" s="31">
        <f>G248*AO248</f>
        <v>0</v>
      </c>
      <c r="J248" s="31">
        <f>G248*AP248</f>
        <v>0</v>
      </c>
      <c r="K248" s="31">
        <f>G248*H248</f>
        <v>0</v>
      </c>
      <c r="L248" s="31">
        <v>0.00031</v>
      </c>
      <c r="M248" s="31">
        <f>G248*L248</f>
        <v>0.0868</v>
      </c>
      <c r="N248" s="49" t="s">
        <v>484</v>
      </c>
      <c r="O248" s="6"/>
      <c r="Z248" s="51">
        <f>IF(AQ248="5",BJ248,0)</f>
        <v>0</v>
      </c>
      <c r="AB248" s="51">
        <f>IF(AQ248="1",BH248,0)</f>
        <v>0</v>
      </c>
      <c r="AC248" s="51">
        <f>IF(AQ248="1",BI248,0)</f>
        <v>0</v>
      </c>
      <c r="AD248" s="51">
        <f>IF(AQ248="7",BH248,0)</f>
        <v>0</v>
      </c>
      <c r="AE248" s="51">
        <f>IF(AQ248="7",BI248,0)</f>
        <v>0</v>
      </c>
      <c r="AF248" s="51">
        <f>IF(AQ248="2",BH248,0)</f>
        <v>0</v>
      </c>
      <c r="AG248" s="51">
        <f>IF(AQ248="2",BI248,0)</f>
        <v>0</v>
      </c>
      <c r="AH248" s="51">
        <f>IF(AQ248="0",BJ248,0)</f>
        <v>0</v>
      </c>
      <c r="AI248" s="39" t="s">
        <v>137</v>
      </c>
      <c r="AJ248" s="30">
        <f>IF(AN248=0,K248,0)</f>
        <v>0</v>
      </c>
      <c r="AK248" s="30">
        <f>IF(AN248=15,K248,0)</f>
        <v>0</v>
      </c>
      <c r="AL248" s="30">
        <f>IF(AN248=21,K248,0)</f>
        <v>0</v>
      </c>
      <c r="AN248" s="51">
        <v>21</v>
      </c>
      <c r="AO248" s="51">
        <f>H248*1</f>
        <v>0</v>
      </c>
      <c r="AP248" s="51">
        <f>H248*(1-1)</f>
        <v>0</v>
      </c>
      <c r="AQ248" s="53" t="s">
        <v>498</v>
      </c>
      <c r="AV248" s="51">
        <f>AW248+AX248</f>
        <v>0</v>
      </c>
      <c r="AW248" s="51">
        <f>G248*AO248</f>
        <v>0</v>
      </c>
      <c r="AX248" s="51">
        <f>G248*AP248</f>
        <v>0</v>
      </c>
      <c r="AY248" s="54" t="s">
        <v>523</v>
      </c>
      <c r="AZ248" s="54" t="s">
        <v>549</v>
      </c>
      <c r="BA248" s="39" t="s">
        <v>556</v>
      </c>
      <c r="BC248" s="51">
        <f>AW248+AX248</f>
        <v>0</v>
      </c>
      <c r="BD248" s="51">
        <f>H248/(100-BE248)*100</f>
        <v>0</v>
      </c>
      <c r="BE248" s="51">
        <v>0</v>
      </c>
      <c r="BF248" s="51">
        <f>M248</f>
        <v>0.0868</v>
      </c>
      <c r="BH248" s="30">
        <f>G248*AO248</f>
        <v>0</v>
      </c>
      <c r="BI248" s="30">
        <f>G248*AP248</f>
        <v>0</v>
      </c>
      <c r="BJ248" s="30">
        <f>G248*H248</f>
        <v>0</v>
      </c>
      <c r="BK248" s="30" t="s">
        <v>562</v>
      </c>
      <c r="BL248" s="51"/>
    </row>
    <row r="249" spans="1:14" ht="12.75">
      <c r="A249" s="10"/>
      <c r="B249" s="10"/>
      <c r="C249" s="10"/>
      <c r="D249" s="10"/>
      <c r="E249" s="10"/>
      <c r="F249" s="10"/>
      <c r="G249" s="10"/>
      <c r="H249" s="10"/>
      <c r="I249" s="172" t="s">
        <v>476</v>
      </c>
      <c r="J249" s="151"/>
      <c r="K249" s="59">
        <f>K13+K15+K19+K22+K28+K34+K36+K40+K45+K52+K57+K60+K63+K65+K68+K70+K75+K81+K86+K92+K98+K101+K110+K116+K121+K142+K145+K150+K156+K162+K165+K174+K179+K184+K191+K194+K197+K206+K219+K222+K224+K228+K235+K246</f>
        <v>0</v>
      </c>
      <c r="L249" s="10"/>
      <c r="M249" s="10"/>
      <c r="N249" s="10"/>
    </row>
    <row r="250" ht="11.25" customHeight="1">
      <c r="A250" s="11" t="s">
        <v>129</v>
      </c>
    </row>
    <row r="251" spans="1:14" ht="12.75">
      <c r="A251" s="116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</row>
  </sheetData>
  <sheetProtection/>
  <mergeCells count="230">
    <mergeCell ref="A1:N1"/>
    <mergeCell ref="A2:C3"/>
    <mergeCell ref="D2:E3"/>
    <mergeCell ref="F2:G3"/>
    <mergeCell ref="H2:H3"/>
    <mergeCell ref="I2:I3"/>
    <mergeCell ref="J2:N3"/>
    <mergeCell ref="A4:C5"/>
    <mergeCell ref="D4:E5"/>
    <mergeCell ref="F4:G5"/>
    <mergeCell ref="H4:H5"/>
    <mergeCell ref="I4:I5"/>
    <mergeCell ref="J4:N5"/>
    <mergeCell ref="A6:C7"/>
    <mergeCell ref="D6:E7"/>
    <mergeCell ref="F6:G7"/>
    <mergeCell ref="H6:H7"/>
    <mergeCell ref="I6:I7"/>
    <mergeCell ref="J6:N7"/>
    <mergeCell ref="A8:C9"/>
    <mergeCell ref="D8:E9"/>
    <mergeCell ref="F8:G9"/>
    <mergeCell ref="H8:H9"/>
    <mergeCell ref="I8:I9"/>
    <mergeCell ref="J8:N9"/>
    <mergeCell ref="D10:E10"/>
    <mergeCell ref="I10:K10"/>
    <mergeCell ref="L10:M10"/>
    <mergeCell ref="D11:E11"/>
    <mergeCell ref="D12:E12"/>
    <mergeCell ref="D13:E13"/>
    <mergeCell ref="D14:E14"/>
    <mergeCell ref="D15:E15"/>
    <mergeCell ref="D16:E16"/>
    <mergeCell ref="D17:N17"/>
    <mergeCell ref="D18:E18"/>
    <mergeCell ref="D19:E19"/>
    <mergeCell ref="D20:E20"/>
    <mergeCell ref="D21:E21"/>
    <mergeCell ref="D22:E22"/>
    <mergeCell ref="D23:E23"/>
    <mergeCell ref="D26:E26"/>
    <mergeCell ref="D28:E28"/>
    <mergeCell ref="D29:E29"/>
    <mergeCell ref="D30:E30"/>
    <mergeCell ref="D32:E32"/>
    <mergeCell ref="D34:E34"/>
    <mergeCell ref="D35:E35"/>
    <mergeCell ref="D36:E36"/>
    <mergeCell ref="D37:E37"/>
    <mergeCell ref="D38:E38"/>
    <mergeCell ref="D39:E39"/>
    <mergeCell ref="D40:E40"/>
    <mergeCell ref="D41:E41"/>
    <mergeCell ref="D43:E43"/>
    <mergeCell ref="D45:E45"/>
    <mergeCell ref="D46:E46"/>
    <mergeCell ref="D47:E47"/>
    <mergeCell ref="D48:E48"/>
    <mergeCell ref="D49:N49"/>
    <mergeCell ref="D51:E51"/>
    <mergeCell ref="D52:E52"/>
    <mergeCell ref="D53:E53"/>
    <mergeCell ref="D54:E54"/>
    <mergeCell ref="D55:E55"/>
    <mergeCell ref="D56:N56"/>
    <mergeCell ref="D57:E57"/>
    <mergeCell ref="D58:E58"/>
    <mergeCell ref="D59:E59"/>
    <mergeCell ref="D60:E60"/>
    <mergeCell ref="D61:E61"/>
    <mergeCell ref="D62:N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4:E74"/>
    <mergeCell ref="D75:E75"/>
    <mergeCell ref="D76:E76"/>
    <mergeCell ref="D77:N77"/>
    <mergeCell ref="D78:E78"/>
    <mergeCell ref="D79:E79"/>
    <mergeCell ref="D80:E80"/>
    <mergeCell ref="D81:E81"/>
    <mergeCell ref="D82:E82"/>
    <mergeCell ref="D84:E84"/>
    <mergeCell ref="D86:E86"/>
    <mergeCell ref="D87:E87"/>
    <mergeCell ref="D90:E90"/>
    <mergeCell ref="D92:E92"/>
    <mergeCell ref="D93:E93"/>
    <mergeCell ref="D94:N94"/>
    <mergeCell ref="D96:E96"/>
    <mergeCell ref="D98:E98"/>
    <mergeCell ref="D99:E99"/>
    <mergeCell ref="D101:E101"/>
    <mergeCell ref="D102:E102"/>
    <mergeCell ref="D103:E103"/>
    <mergeCell ref="D104:E104"/>
    <mergeCell ref="D105:E105"/>
    <mergeCell ref="D106:E106"/>
    <mergeCell ref="D107:N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N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8:E148"/>
    <mergeCell ref="D150:E150"/>
    <mergeCell ref="D151:E151"/>
    <mergeCell ref="D153:E153"/>
    <mergeCell ref="D154:N154"/>
    <mergeCell ref="D156:E156"/>
    <mergeCell ref="D157:E157"/>
    <mergeCell ref="D159:E159"/>
    <mergeCell ref="D160:N160"/>
    <mergeCell ref="D162:E162"/>
    <mergeCell ref="D163:E163"/>
    <mergeCell ref="D165:E165"/>
    <mergeCell ref="D166:E166"/>
    <mergeCell ref="D167:N167"/>
    <mergeCell ref="D168:E168"/>
    <mergeCell ref="D169:E169"/>
    <mergeCell ref="D172:E172"/>
    <mergeCell ref="D173:E173"/>
    <mergeCell ref="D174:E174"/>
    <mergeCell ref="D175:E175"/>
    <mergeCell ref="D177:E177"/>
    <mergeCell ref="D179:E179"/>
    <mergeCell ref="D180:E180"/>
    <mergeCell ref="D182:E182"/>
    <mergeCell ref="D184:E184"/>
    <mergeCell ref="D185:E185"/>
    <mergeCell ref="D188:E188"/>
    <mergeCell ref="D189:N189"/>
    <mergeCell ref="D191:E191"/>
    <mergeCell ref="D192:E192"/>
    <mergeCell ref="D194:E194"/>
    <mergeCell ref="D195:E195"/>
    <mergeCell ref="D197:E197"/>
    <mergeCell ref="D198:E198"/>
    <mergeCell ref="D199:N199"/>
    <mergeCell ref="D200:E200"/>
    <mergeCell ref="D201:N201"/>
    <mergeCell ref="D202:E202"/>
    <mergeCell ref="D203:N203"/>
    <mergeCell ref="D204:E204"/>
    <mergeCell ref="D205:E205"/>
    <mergeCell ref="D206:E206"/>
    <mergeCell ref="D207:E207"/>
    <mergeCell ref="D208:N208"/>
    <mergeCell ref="D209:E209"/>
    <mergeCell ref="D210:N210"/>
    <mergeCell ref="D211:E211"/>
    <mergeCell ref="D212:E212"/>
    <mergeCell ref="D214:E214"/>
    <mergeCell ref="D215:E215"/>
    <mergeCell ref="D216:N216"/>
    <mergeCell ref="D217:E217"/>
    <mergeCell ref="D218:N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N230"/>
    <mergeCell ref="D232:E232"/>
    <mergeCell ref="D233:E233"/>
    <mergeCell ref="D234:N234"/>
    <mergeCell ref="D235:E235"/>
    <mergeCell ref="D236:E236"/>
    <mergeCell ref="D237:N237"/>
    <mergeCell ref="D238:E238"/>
    <mergeCell ref="D239:N239"/>
    <mergeCell ref="D240:E240"/>
    <mergeCell ref="D241:N241"/>
    <mergeCell ref="D242:E242"/>
    <mergeCell ref="D243:N243"/>
    <mergeCell ref="A251:N251"/>
    <mergeCell ref="D244:E244"/>
    <mergeCell ref="D245:N245"/>
    <mergeCell ref="D246:E246"/>
    <mergeCell ref="D247:E247"/>
    <mergeCell ref="D248:E248"/>
    <mergeCell ref="I249:J249"/>
  </mergeCells>
  <printOptions/>
  <pageMargins left="0.394" right="0.394" top="0.591" bottom="0.591" header="0.5" footer="0.5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2.8515625" style="0" customWidth="1"/>
    <col min="5" max="5" width="42.2812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158" t="s">
        <v>572</v>
      </c>
      <c r="B1" s="147"/>
      <c r="C1" s="147"/>
      <c r="D1" s="147"/>
      <c r="E1" s="147"/>
      <c r="F1" s="147"/>
      <c r="G1" s="147"/>
      <c r="H1" s="147"/>
    </row>
    <row r="2" spans="1:9" ht="12.75">
      <c r="A2" s="148" t="s">
        <v>1</v>
      </c>
      <c r="B2" s="149"/>
      <c r="C2" s="150" t="str">
        <f>'Stavební rozpočet'!D2</f>
        <v>Zařízení pro sběr a výkup odpadů</v>
      </c>
      <c r="D2" s="151"/>
      <c r="E2" s="153" t="s">
        <v>470</v>
      </c>
      <c r="F2" s="153" t="str">
        <f>'Stavební rozpočet'!J2</f>
        <v> </v>
      </c>
      <c r="G2" s="149"/>
      <c r="H2" s="186"/>
      <c r="I2" s="6"/>
    </row>
    <row r="3" spans="1:9" ht="12.75">
      <c r="A3" s="143"/>
      <c r="B3" s="117"/>
      <c r="C3" s="152"/>
      <c r="D3" s="152"/>
      <c r="E3" s="117"/>
      <c r="F3" s="117"/>
      <c r="G3" s="117"/>
      <c r="H3" s="145"/>
      <c r="I3" s="6"/>
    </row>
    <row r="4" spans="1:9" ht="12.75">
      <c r="A4" s="137" t="s">
        <v>2</v>
      </c>
      <c r="B4" s="117"/>
      <c r="C4" s="116" t="str">
        <f>'Stavební rozpočet'!D4</f>
        <v> </v>
      </c>
      <c r="D4" s="117"/>
      <c r="E4" s="116" t="s">
        <v>471</v>
      </c>
      <c r="F4" s="116" t="str">
        <f>'Stavební rozpočet'!J4</f>
        <v> </v>
      </c>
      <c r="G4" s="117"/>
      <c r="H4" s="145"/>
      <c r="I4" s="6"/>
    </row>
    <row r="5" spans="1:9" ht="12.75">
      <c r="A5" s="143"/>
      <c r="B5" s="117"/>
      <c r="C5" s="117"/>
      <c r="D5" s="117"/>
      <c r="E5" s="117"/>
      <c r="F5" s="117"/>
      <c r="G5" s="117"/>
      <c r="H5" s="145"/>
      <c r="I5" s="6"/>
    </row>
    <row r="6" spans="1:9" ht="12.75">
      <c r="A6" s="137" t="s">
        <v>3</v>
      </c>
      <c r="B6" s="117"/>
      <c r="C6" s="116" t="str">
        <f>'Stavební rozpočet'!D6</f>
        <v>Střítež u Kaplice</v>
      </c>
      <c r="D6" s="117"/>
      <c r="E6" s="116" t="s">
        <v>472</v>
      </c>
      <c r="F6" s="116" t="str">
        <f>'Stavební rozpočet'!J6</f>
        <v> </v>
      </c>
      <c r="G6" s="117"/>
      <c r="H6" s="145"/>
      <c r="I6" s="6"/>
    </row>
    <row r="7" spans="1:9" ht="12.75">
      <c r="A7" s="143"/>
      <c r="B7" s="117"/>
      <c r="C7" s="117"/>
      <c r="D7" s="117"/>
      <c r="E7" s="117"/>
      <c r="F7" s="117"/>
      <c r="G7" s="117"/>
      <c r="H7" s="145"/>
      <c r="I7" s="6"/>
    </row>
    <row r="8" spans="1:9" ht="12.75">
      <c r="A8" s="137" t="s">
        <v>473</v>
      </c>
      <c r="B8" s="117"/>
      <c r="C8" s="116" t="str">
        <f>'Stavební rozpočet'!J8</f>
        <v> </v>
      </c>
      <c r="D8" s="117"/>
      <c r="E8" s="116" t="s">
        <v>456</v>
      </c>
      <c r="F8" s="116" t="str">
        <f>'Stavební rozpočet'!H8</f>
        <v>28.06.2022</v>
      </c>
      <c r="G8" s="117"/>
      <c r="H8" s="145"/>
      <c r="I8" s="6"/>
    </row>
    <row r="9" spans="1:9" ht="12.75">
      <c r="A9" s="155"/>
      <c r="B9" s="156"/>
      <c r="C9" s="156"/>
      <c r="D9" s="156"/>
      <c r="E9" s="156"/>
      <c r="F9" s="156"/>
      <c r="G9" s="156"/>
      <c r="H9" s="157"/>
      <c r="I9" s="6"/>
    </row>
    <row r="10" spans="1:9" ht="12.75">
      <c r="A10" s="64" t="s">
        <v>5</v>
      </c>
      <c r="B10" s="67" t="s">
        <v>130</v>
      </c>
      <c r="C10" s="67" t="s">
        <v>138</v>
      </c>
      <c r="D10" s="191" t="s">
        <v>254</v>
      </c>
      <c r="E10" s="192"/>
      <c r="F10" s="67" t="s">
        <v>457</v>
      </c>
      <c r="G10" s="82" t="s">
        <v>466</v>
      </c>
      <c r="H10" s="86" t="s">
        <v>573</v>
      </c>
      <c r="I10" s="50"/>
    </row>
    <row r="11" spans="1:9" ht="12.75">
      <c r="A11" s="76"/>
      <c r="B11" s="79"/>
      <c r="C11" s="79" t="s">
        <v>19</v>
      </c>
      <c r="D11" s="193" t="s">
        <v>310</v>
      </c>
      <c r="E11" s="194"/>
      <c r="F11" s="79"/>
      <c r="G11" s="83"/>
      <c r="H11" s="87"/>
      <c r="I11" s="6"/>
    </row>
    <row r="12" spans="1:9" ht="12.75">
      <c r="A12" s="5" t="s">
        <v>7</v>
      </c>
      <c r="B12" s="16" t="s">
        <v>136</v>
      </c>
      <c r="C12" s="16" t="s">
        <v>177</v>
      </c>
      <c r="D12" s="161" t="s">
        <v>325</v>
      </c>
      <c r="E12" s="162"/>
      <c r="F12" s="16" t="s">
        <v>459</v>
      </c>
      <c r="G12" s="28">
        <v>91.26</v>
      </c>
      <c r="H12" s="88">
        <v>0</v>
      </c>
      <c r="I12" s="6"/>
    </row>
    <row r="13" spans="1:9" ht="12" customHeight="1">
      <c r="A13" s="6"/>
      <c r="D13" s="81" t="s">
        <v>397</v>
      </c>
      <c r="E13" s="189"/>
      <c r="F13" s="190"/>
      <c r="G13" s="84">
        <v>91.26</v>
      </c>
      <c r="H13" s="47"/>
      <c r="I13" s="6"/>
    </row>
    <row r="14" spans="1:9" ht="12.75">
      <c r="A14" s="5" t="s">
        <v>8</v>
      </c>
      <c r="B14" s="16" t="s">
        <v>136</v>
      </c>
      <c r="C14" s="16" t="s">
        <v>224</v>
      </c>
      <c r="D14" s="161" t="s">
        <v>398</v>
      </c>
      <c r="E14" s="162"/>
      <c r="F14" s="16" t="s">
        <v>459</v>
      </c>
      <c r="G14" s="28">
        <v>103.68</v>
      </c>
      <c r="H14" s="88">
        <v>0</v>
      </c>
      <c r="I14" s="6"/>
    </row>
    <row r="15" spans="1:9" ht="12" customHeight="1">
      <c r="A15" s="6"/>
      <c r="D15" s="81" t="s">
        <v>399</v>
      </c>
      <c r="E15" s="189"/>
      <c r="F15" s="190"/>
      <c r="G15" s="84">
        <v>103.68</v>
      </c>
      <c r="H15" s="47"/>
      <c r="I15" s="6"/>
    </row>
    <row r="16" spans="1:9" ht="12.75">
      <c r="A16" s="5" t="s">
        <v>9</v>
      </c>
      <c r="B16" s="16" t="s">
        <v>135</v>
      </c>
      <c r="C16" s="16" t="s">
        <v>218</v>
      </c>
      <c r="D16" s="161" t="s">
        <v>380</v>
      </c>
      <c r="E16" s="162"/>
      <c r="F16" s="16" t="s">
        <v>459</v>
      </c>
      <c r="G16" s="28">
        <v>3.3</v>
      </c>
      <c r="H16" s="88">
        <v>0</v>
      </c>
      <c r="I16" s="6"/>
    </row>
    <row r="17" spans="1:9" ht="12" customHeight="1">
      <c r="A17" s="6"/>
      <c r="D17" s="81" t="s">
        <v>381</v>
      </c>
      <c r="E17" s="189"/>
      <c r="F17" s="190"/>
      <c r="G17" s="84">
        <v>3.3</v>
      </c>
      <c r="H17" s="47"/>
      <c r="I17" s="6"/>
    </row>
    <row r="18" spans="1:9" ht="12.75">
      <c r="A18" s="5" t="s">
        <v>10</v>
      </c>
      <c r="B18" s="16" t="s">
        <v>135</v>
      </c>
      <c r="C18" s="16" t="s">
        <v>176</v>
      </c>
      <c r="D18" s="161" t="s">
        <v>323</v>
      </c>
      <c r="E18" s="162"/>
      <c r="F18" s="16" t="s">
        <v>459</v>
      </c>
      <c r="G18" s="28">
        <v>22.5</v>
      </c>
      <c r="H18" s="88">
        <v>0</v>
      </c>
      <c r="I18" s="6"/>
    </row>
    <row r="19" spans="1:9" ht="12" customHeight="1">
      <c r="A19" s="6"/>
      <c r="D19" s="81" t="s">
        <v>382</v>
      </c>
      <c r="E19" s="189"/>
      <c r="F19" s="190"/>
      <c r="G19" s="84">
        <v>22.5</v>
      </c>
      <c r="H19" s="47"/>
      <c r="I19" s="6"/>
    </row>
    <row r="20" spans="1:9" ht="12.75">
      <c r="A20" s="77"/>
      <c r="B20" s="15"/>
      <c r="C20" s="15" t="s">
        <v>22</v>
      </c>
      <c r="D20" s="166" t="s">
        <v>272</v>
      </c>
      <c r="E20" s="167"/>
      <c r="F20" s="15"/>
      <c r="G20" s="39"/>
      <c r="H20" s="44"/>
      <c r="I20" s="6"/>
    </row>
    <row r="21" spans="1:9" ht="12.75">
      <c r="A21" s="5" t="s">
        <v>11</v>
      </c>
      <c r="B21" s="16" t="s">
        <v>135</v>
      </c>
      <c r="C21" s="16" t="s">
        <v>148</v>
      </c>
      <c r="D21" s="161" t="s">
        <v>274</v>
      </c>
      <c r="E21" s="162"/>
      <c r="F21" s="16" t="s">
        <v>459</v>
      </c>
      <c r="G21" s="28">
        <v>23.7</v>
      </c>
      <c r="H21" s="88">
        <v>0</v>
      </c>
      <c r="I21" s="6"/>
    </row>
    <row r="22" spans="1:9" ht="12" customHeight="1">
      <c r="A22" s="6"/>
      <c r="D22" s="81" t="s">
        <v>383</v>
      </c>
      <c r="E22" s="189"/>
      <c r="F22" s="190"/>
      <c r="G22" s="84">
        <v>23.7</v>
      </c>
      <c r="H22" s="47"/>
      <c r="I22" s="6"/>
    </row>
    <row r="23" spans="1:9" ht="12.75">
      <c r="A23" s="5" t="s">
        <v>12</v>
      </c>
      <c r="B23" s="16" t="s">
        <v>132</v>
      </c>
      <c r="C23" s="16" t="s">
        <v>148</v>
      </c>
      <c r="D23" s="161" t="s">
        <v>274</v>
      </c>
      <c r="E23" s="162"/>
      <c r="F23" s="16" t="s">
        <v>459</v>
      </c>
      <c r="G23" s="28">
        <v>622.5</v>
      </c>
      <c r="H23" s="88">
        <v>0</v>
      </c>
      <c r="I23" s="6"/>
    </row>
    <row r="24" spans="1:9" ht="12" customHeight="1">
      <c r="A24" s="6"/>
      <c r="D24" s="81" t="s">
        <v>275</v>
      </c>
      <c r="E24" s="189"/>
      <c r="F24" s="190"/>
      <c r="G24" s="84">
        <v>622.5</v>
      </c>
      <c r="H24" s="47"/>
      <c r="I24" s="6"/>
    </row>
    <row r="25" spans="1:9" ht="12.75">
      <c r="A25" s="5" t="s">
        <v>13</v>
      </c>
      <c r="B25" s="16" t="s">
        <v>132</v>
      </c>
      <c r="C25" s="16" t="s">
        <v>149</v>
      </c>
      <c r="D25" s="161" t="s">
        <v>276</v>
      </c>
      <c r="E25" s="162"/>
      <c r="F25" s="16" t="s">
        <v>459</v>
      </c>
      <c r="G25" s="28">
        <v>3112.5</v>
      </c>
      <c r="H25" s="88">
        <v>0</v>
      </c>
      <c r="I25" s="6"/>
    </row>
    <row r="26" spans="1:9" ht="12" customHeight="1">
      <c r="A26" s="6"/>
      <c r="D26" s="81" t="s">
        <v>277</v>
      </c>
      <c r="E26" s="189"/>
      <c r="F26" s="190"/>
      <c r="G26" s="84">
        <v>3112.5</v>
      </c>
      <c r="H26" s="47"/>
      <c r="I26" s="6"/>
    </row>
    <row r="27" spans="1:9" ht="12.75">
      <c r="A27" s="5" t="s">
        <v>14</v>
      </c>
      <c r="B27" s="16" t="s">
        <v>134</v>
      </c>
      <c r="C27" s="16" t="s">
        <v>148</v>
      </c>
      <c r="D27" s="161" t="s">
        <v>274</v>
      </c>
      <c r="E27" s="162"/>
      <c r="F27" s="16" t="s">
        <v>459</v>
      </c>
      <c r="G27" s="28">
        <v>36.36</v>
      </c>
      <c r="H27" s="88">
        <v>0</v>
      </c>
      <c r="I27" s="6"/>
    </row>
    <row r="28" spans="1:9" ht="12" customHeight="1">
      <c r="A28" s="6"/>
      <c r="D28" s="81" t="s">
        <v>327</v>
      </c>
      <c r="E28" s="189"/>
      <c r="F28" s="190"/>
      <c r="G28" s="84">
        <v>32.4</v>
      </c>
      <c r="H28" s="47"/>
      <c r="I28" s="6"/>
    </row>
    <row r="29" spans="1:9" ht="12" customHeight="1">
      <c r="A29" s="5"/>
      <c r="B29" s="16"/>
      <c r="C29" s="16"/>
      <c r="D29" s="81" t="s">
        <v>324</v>
      </c>
      <c r="E29" s="189"/>
      <c r="F29" s="189"/>
      <c r="G29" s="84">
        <v>3.96</v>
      </c>
      <c r="H29" s="45"/>
      <c r="I29" s="6"/>
    </row>
    <row r="30" spans="1:9" ht="12.75">
      <c r="A30" s="5" t="s">
        <v>15</v>
      </c>
      <c r="B30" s="16" t="s">
        <v>136</v>
      </c>
      <c r="C30" s="16" t="s">
        <v>148</v>
      </c>
      <c r="D30" s="161" t="s">
        <v>274</v>
      </c>
      <c r="E30" s="162"/>
      <c r="F30" s="16" t="s">
        <v>459</v>
      </c>
      <c r="G30" s="28">
        <v>102.3</v>
      </c>
      <c r="H30" s="88">
        <v>0</v>
      </c>
      <c r="I30" s="6"/>
    </row>
    <row r="31" spans="1:9" ht="12" customHeight="1">
      <c r="A31" s="6"/>
      <c r="D31" s="81" t="s">
        <v>400</v>
      </c>
      <c r="E31" s="189"/>
      <c r="F31" s="190"/>
      <c r="G31" s="84">
        <v>102.3</v>
      </c>
      <c r="H31" s="47"/>
      <c r="I31" s="6"/>
    </row>
    <row r="32" spans="1:9" ht="12.75">
      <c r="A32" s="5" t="s">
        <v>16</v>
      </c>
      <c r="B32" s="16" t="s">
        <v>136</v>
      </c>
      <c r="C32" s="16" t="s">
        <v>149</v>
      </c>
      <c r="D32" s="161" t="s">
        <v>276</v>
      </c>
      <c r="E32" s="162"/>
      <c r="F32" s="16" t="s">
        <v>459</v>
      </c>
      <c r="G32" s="28">
        <v>511.5</v>
      </c>
      <c r="H32" s="88">
        <v>0</v>
      </c>
      <c r="I32" s="6"/>
    </row>
    <row r="33" spans="1:9" ht="12" customHeight="1">
      <c r="A33" s="6"/>
      <c r="D33" s="81" t="s">
        <v>401</v>
      </c>
      <c r="E33" s="189"/>
      <c r="F33" s="190"/>
      <c r="G33" s="84">
        <v>511.5</v>
      </c>
      <c r="H33" s="47"/>
      <c r="I33" s="6"/>
    </row>
    <row r="34" spans="1:9" ht="12.75">
      <c r="A34" s="5" t="s">
        <v>17</v>
      </c>
      <c r="B34" s="16" t="s">
        <v>135</v>
      </c>
      <c r="C34" s="16" t="s">
        <v>219</v>
      </c>
      <c r="D34" s="161" t="s">
        <v>276</v>
      </c>
      <c r="E34" s="162"/>
      <c r="F34" s="16" t="s">
        <v>459</v>
      </c>
      <c r="G34" s="28">
        <v>118.5</v>
      </c>
      <c r="H34" s="88">
        <v>0</v>
      </c>
      <c r="I34" s="6"/>
    </row>
    <row r="35" spans="1:9" ht="12" customHeight="1">
      <c r="A35" s="6"/>
      <c r="D35" s="81" t="s">
        <v>385</v>
      </c>
      <c r="E35" s="189"/>
      <c r="F35" s="190"/>
      <c r="G35" s="84">
        <v>118.5</v>
      </c>
      <c r="H35" s="47"/>
      <c r="I35" s="6"/>
    </row>
    <row r="36" spans="1:9" ht="12.75">
      <c r="A36" s="77"/>
      <c r="B36" s="15"/>
      <c r="C36" s="15" t="s">
        <v>23</v>
      </c>
      <c r="D36" s="166" t="s">
        <v>278</v>
      </c>
      <c r="E36" s="167"/>
      <c r="F36" s="15"/>
      <c r="G36" s="39"/>
      <c r="H36" s="44"/>
      <c r="I36" s="6"/>
    </row>
    <row r="37" spans="1:9" ht="12.75">
      <c r="A37" s="5" t="s">
        <v>18</v>
      </c>
      <c r="B37" s="16" t="s">
        <v>135</v>
      </c>
      <c r="C37" s="16" t="s">
        <v>179</v>
      </c>
      <c r="D37" s="161" t="s">
        <v>332</v>
      </c>
      <c r="E37" s="162"/>
      <c r="F37" s="16" t="s">
        <v>459</v>
      </c>
      <c r="G37" s="28">
        <v>2.1</v>
      </c>
      <c r="H37" s="88">
        <v>0</v>
      </c>
      <c r="I37" s="6"/>
    </row>
    <row r="38" spans="1:9" ht="12" customHeight="1">
      <c r="A38" s="6"/>
      <c r="D38" s="81" t="s">
        <v>386</v>
      </c>
      <c r="E38" s="189"/>
      <c r="F38" s="190"/>
      <c r="G38" s="84">
        <v>2.1</v>
      </c>
      <c r="H38" s="47"/>
      <c r="I38" s="6"/>
    </row>
    <row r="39" spans="1:9" ht="12.75">
      <c r="A39" s="5" t="s">
        <v>19</v>
      </c>
      <c r="B39" s="16" t="s">
        <v>134</v>
      </c>
      <c r="C39" s="16" t="s">
        <v>179</v>
      </c>
      <c r="D39" s="161" t="s">
        <v>332</v>
      </c>
      <c r="E39" s="162"/>
      <c r="F39" s="16" t="s">
        <v>459</v>
      </c>
      <c r="G39" s="28">
        <v>118.8</v>
      </c>
      <c r="H39" s="88">
        <v>0</v>
      </c>
      <c r="I39" s="6"/>
    </row>
    <row r="40" spans="1:9" ht="12" customHeight="1">
      <c r="A40" s="6"/>
      <c r="D40" s="81" t="s">
        <v>333</v>
      </c>
      <c r="E40" s="189"/>
      <c r="F40" s="190"/>
      <c r="G40" s="84">
        <v>118.8</v>
      </c>
      <c r="H40" s="47"/>
      <c r="I40" s="6"/>
    </row>
    <row r="41" spans="1:9" ht="12.75">
      <c r="A41" s="5" t="s">
        <v>20</v>
      </c>
      <c r="B41" s="16" t="s">
        <v>136</v>
      </c>
      <c r="C41" s="16" t="s">
        <v>179</v>
      </c>
      <c r="D41" s="161" t="s">
        <v>332</v>
      </c>
      <c r="E41" s="162"/>
      <c r="F41" s="16" t="s">
        <v>459</v>
      </c>
      <c r="G41" s="28">
        <v>92.64</v>
      </c>
      <c r="H41" s="88">
        <v>0</v>
      </c>
      <c r="I41" s="6"/>
    </row>
    <row r="42" spans="1:9" ht="12" customHeight="1">
      <c r="A42" s="6"/>
      <c r="D42" s="81" t="s">
        <v>402</v>
      </c>
      <c r="E42" s="189" t="s">
        <v>451</v>
      </c>
      <c r="F42" s="190"/>
      <c r="G42" s="84">
        <v>56.16</v>
      </c>
      <c r="H42" s="47"/>
      <c r="I42" s="6"/>
    </row>
    <row r="43" spans="1:9" ht="12" customHeight="1">
      <c r="A43" s="5"/>
      <c r="B43" s="16"/>
      <c r="C43" s="16"/>
      <c r="D43" s="81" t="s">
        <v>403</v>
      </c>
      <c r="E43" s="189" t="s">
        <v>452</v>
      </c>
      <c r="F43" s="189"/>
      <c r="G43" s="84">
        <v>36.48</v>
      </c>
      <c r="H43" s="45"/>
      <c r="I43" s="6"/>
    </row>
    <row r="44" spans="1:9" ht="12.75">
      <c r="A44" s="77"/>
      <c r="B44" s="15"/>
      <c r="C44" s="15" t="s">
        <v>24</v>
      </c>
      <c r="D44" s="166" t="s">
        <v>280</v>
      </c>
      <c r="E44" s="167"/>
      <c r="F44" s="15"/>
      <c r="G44" s="39"/>
      <c r="H44" s="44"/>
      <c r="I44" s="6"/>
    </row>
    <row r="45" spans="1:9" ht="12.75">
      <c r="A45" s="5" t="s">
        <v>21</v>
      </c>
      <c r="B45" s="16" t="s">
        <v>132</v>
      </c>
      <c r="C45" s="16" t="s">
        <v>151</v>
      </c>
      <c r="D45" s="161" t="s">
        <v>281</v>
      </c>
      <c r="E45" s="162"/>
      <c r="F45" s="16" t="s">
        <v>460</v>
      </c>
      <c r="G45" s="28">
        <v>4000</v>
      </c>
      <c r="H45" s="88">
        <v>0</v>
      </c>
      <c r="I45" s="6"/>
    </row>
    <row r="46" spans="1:9" ht="12.75">
      <c r="A46" s="77"/>
      <c r="B46" s="15"/>
      <c r="C46" s="15" t="s">
        <v>27</v>
      </c>
      <c r="D46" s="166" t="s">
        <v>284</v>
      </c>
      <c r="E46" s="167"/>
      <c r="F46" s="15"/>
      <c r="G46" s="39"/>
      <c r="H46" s="44"/>
      <c r="I46" s="6"/>
    </row>
    <row r="47" spans="1:9" ht="12.75">
      <c r="A47" s="5" t="s">
        <v>22</v>
      </c>
      <c r="B47" s="16" t="s">
        <v>136</v>
      </c>
      <c r="C47" s="16" t="s">
        <v>225</v>
      </c>
      <c r="D47" s="161" t="s">
        <v>405</v>
      </c>
      <c r="E47" s="162"/>
      <c r="F47" s="16" t="s">
        <v>459</v>
      </c>
      <c r="G47" s="28">
        <v>5.76</v>
      </c>
      <c r="H47" s="88">
        <v>0</v>
      </c>
      <c r="I47" s="6"/>
    </row>
    <row r="48" spans="1:9" ht="12" customHeight="1">
      <c r="A48" s="6"/>
      <c r="D48" s="81" t="s">
        <v>406</v>
      </c>
      <c r="E48" s="189"/>
      <c r="F48" s="190"/>
      <c r="G48" s="84">
        <v>5.76</v>
      </c>
      <c r="H48" s="47"/>
      <c r="I48" s="6"/>
    </row>
    <row r="49" spans="1:9" ht="12.75">
      <c r="A49" s="77"/>
      <c r="B49" s="15"/>
      <c r="C49" s="15" t="s">
        <v>33</v>
      </c>
      <c r="D49" s="166" t="s">
        <v>257</v>
      </c>
      <c r="E49" s="167"/>
      <c r="F49" s="15"/>
      <c r="G49" s="39"/>
      <c r="H49" s="44"/>
      <c r="I49" s="6"/>
    </row>
    <row r="50" spans="1:9" ht="12.75">
      <c r="A50" s="5" t="s">
        <v>23</v>
      </c>
      <c r="B50" s="16" t="s">
        <v>131</v>
      </c>
      <c r="C50" s="16" t="s">
        <v>139</v>
      </c>
      <c r="D50" s="161" t="s">
        <v>258</v>
      </c>
      <c r="E50" s="162"/>
      <c r="F50" s="16" t="s">
        <v>458</v>
      </c>
      <c r="G50" s="28">
        <v>4</v>
      </c>
      <c r="H50" s="88">
        <v>0</v>
      </c>
      <c r="I50" s="6"/>
    </row>
    <row r="51" spans="1:9" ht="12.75">
      <c r="A51" s="77"/>
      <c r="B51" s="15"/>
      <c r="C51" s="15" t="s">
        <v>51</v>
      </c>
      <c r="D51" s="166" t="s">
        <v>334</v>
      </c>
      <c r="E51" s="167"/>
      <c r="F51" s="15"/>
      <c r="G51" s="39"/>
      <c r="H51" s="44"/>
      <c r="I51" s="6"/>
    </row>
    <row r="52" spans="1:9" ht="12.75">
      <c r="A52" s="5" t="s">
        <v>24</v>
      </c>
      <c r="B52" s="16" t="s">
        <v>135</v>
      </c>
      <c r="C52" s="16" t="s">
        <v>220</v>
      </c>
      <c r="D52" s="161" t="s">
        <v>388</v>
      </c>
      <c r="E52" s="162"/>
      <c r="F52" s="16" t="s">
        <v>459</v>
      </c>
      <c r="G52" s="28">
        <v>0.3</v>
      </c>
      <c r="H52" s="88">
        <v>0</v>
      </c>
      <c r="I52" s="6"/>
    </row>
    <row r="53" spans="1:9" ht="12" customHeight="1">
      <c r="A53" s="6"/>
      <c r="D53" s="81" t="s">
        <v>389</v>
      </c>
      <c r="E53" s="189"/>
      <c r="F53" s="190"/>
      <c r="G53" s="84">
        <v>0.3</v>
      </c>
      <c r="H53" s="47"/>
      <c r="I53" s="6"/>
    </row>
    <row r="54" spans="1:9" ht="12.75">
      <c r="A54" s="77"/>
      <c r="B54" s="15"/>
      <c r="C54" s="15" t="s">
        <v>172</v>
      </c>
      <c r="D54" s="166" t="s">
        <v>317</v>
      </c>
      <c r="E54" s="167"/>
      <c r="F54" s="15"/>
      <c r="G54" s="39"/>
      <c r="H54" s="44"/>
      <c r="I54" s="6"/>
    </row>
    <row r="55" spans="1:9" ht="12.75">
      <c r="A55" s="5" t="s">
        <v>25</v>
      </c>
      <c r="B55" s="16" t="s">
        <v>133</v>
      </c>
      <c r="C55" s="16" t="s">
        <v>173</v>
      </c>
      <c r="D55" s="161" t="s">
        <v>318</v>
      </c>
      <c r="E55" s="162"/>
      <c r="F55" s="16" t="s">
        <v>458</v>
      </c>
      <c r="G55" s="28">
        <v>1</v>
      </c>
      <c r="H55" s="88">
        <v>0</v>
      </c>
      <c r="I55" s="6"/>
    </row>
    <row r="56" spans="1:9" ht="12.75">
      <c r="A56" s="5" t="s">
        <v>26</v>
      </c>
      <c r="B56" s="16" t="s">
        <v>133</v>
      </c>
      <c r="C56" s="16" t="s">
        <v>175</v>
      </c>
      <c r="D56" s="161" t="s">
        <v>321</v>
      </c>
      <c r="E56" s="162"/>
      <c r="F56" s="16" t="s">
        <v>462</v>
      </c>
      <c r="G56" s="28">
        <v>15.64</v>
      </c>
      <c r="H56" s="88">
        <v>0</v>
      </c>
      <c r="I56" s="6"/>
    </row>
    <row r="57" spans="1:9" ht="12.75">
      <c r="A57" s="77"/>
      <c r="B57" s="15"/>
      <c r="C57" s="15" t="s">
        <v>91</v>
      </c>
      <c r="D57" s="166" t="s">
        <v>346</v>
      </c>
      <c r="E57" s="167"/>
      <c r="F57" s="15"/>
      <c r="G57" s="39"/>
      <c r="H57" s="44"/>
      <c r="I57" s="6"/>
    </row>
    <row r="58" spans="1:9" ht="12.75">
      <c r="A58" s="5" t="s">
        <v>27</v>
      </c>
      <c r="B58" s="16" t="s">
        <v>134</v>
      </c>
      <c r="C58" s="16" t="s">
        <v>189</v>
      </c>
      <c r="D58" s="161" t="s">
        <v>347</v>
      </c>
      <c r="E58" s="162"/>
      <c r="F58" s="16" t="s">
        <v>458</v>
      </c>
      <c r="G58" s="28">
        <v>1</v>
      </c>
      <c r="H58" s="88">
        <v>0</v>
      </c>
      <c r="I58" s="6"/>
    </row>
    <row r="59" spans="1:9" ht="12.75">
      <c r="A59" s="77"/>
      <c r="B59" s="15"/>
      <c r="C59" s="15" t="s">
        <v>93</v>
      </c>
      <c r="D59" s="166" t="s">
        <v>259</v>
      </c>
      <c r="E59" s="167"/>
      <c r="F59" s="15"/>
      <c r="G59" s="39"/>
      <c r="H59" s="44"/>
      <c r="I59" s="6"/>
    </row>
    <row r="60" spans="1:9" ht="12.75">
      <c r="A60" s="5" t="s">
        <v>28</v>
      </c>
      <c r="B60" s="16" t="s">
        <v>135</v>
      </c>
      <c r="C60" s="16" t="s">
        <v>221</v>
      </c>
      <c r="D60" s="161" t="s">
        <v>390</v>
      </c>
      <c r="E60" s="162"/>
      <c r="F60" s="16" t="s">
        <v>461</v>
      </c>
      <c r="G60" s="28">
        <v>5</v>
      </c>
      <c r="H60" s="88">
        <v>0</v>
      </c>
      <c r="I60" s="6"/>
    </row>
    <row r="61" spans="1:9" ht="12.75">
      <c r="A61" s="8" t="s">
        <v>29</v>
      </c>
      <c r="B61" s="18" t="s">
        <v>135</v>
      </c>
      <c r="C61" s="18" t="s">
        <v>222</v>
      </c>
      <c r="D61" s="175" t="s">
        <v>392</v>
      </c>
      <c r="E61" s="176"/>
      <c r="F61" s="18" t="s">
        <v>458</v>
      </c>
      <c r="G61" s="30">
        <v>1</v>
      </c>
      <c r="H61" s="89">
        <v>0</v>
      </c>
      <c r="I61" s="6"/>
    </row>
    <row r="62" spans="1:9" ht="12.75">
      <c r="A62" s="5" t="s">
        <v>30</v>
      </c>
      <c r="B62" s="16" t="s">
        <v>135</v>
      </c>
      <c r="C62" s="16" t="s">
        <v>223</v>
      </c>
      <c r="D62" s="161" t="s">
        <v>393</v>
      </c>
      <c r="E62" s="162"/>
      <c r="F62" s="16" t="s">
        <v>459</v>
      </c>
      <c r="G62" s="28">
        <v>6</v>
      </c>
      <c r="H62" s="88">
        <v>0</v>
      </c>
      <c r="I62" s="6"/>
    </row>
    <row r="63" spans="1:9" ht="12" customHeight="1">
      <c r="A63" s="6"/>
      <c r="D63" s="81" t="s">
        <v>394</v>
      </c>
      <c r="E63" s="189" t="s">
        <v>449</v>
      </c>
      <c r="F63" s="190"/>
      <c r="G63" s="84">
        <v>4.8</v>
      </c>
      <c r="H63" s="47"/>
      <c r="I63" s="6"/>
    </row>
    <row r="64" spans="1:9" ht="12" customHeight="1">
      <c r="A64" s="5"/>
      <c r="B64" s="16"/>
      <c r="C64" s="16"/>
      <c r="D64" s="81" t="s">
        <v>395</v>
      </c>
      <c r="E64" s="189" t="s">
        <v>450</v>
      </c>
      <c r="F64" s="189"/>
      <c r="G64" s="84">
        <v>1.2</v>
      </c>
      <c r="H64" s="45"/>
      <c r="I64" s="6"/>
    </row>
    <row r="65" spans="1:9" ht="12.75">
      <c r="A65" s="5" t="s">
        <v>31</v>
      </c>
      <c r="B65" s="16" t="s">
        <v>135</v>
      </c>
      <c r="C65" s="16" t="s">
        <v>217</v>
      </c>
      <c r="D65" s="161" t="s">
        <v>378</v>
      </c>
      <c r="E65" s="162"/>
      <c r="F65" s="16" t="s">
        <v>462</v>
      </c>
      <c r="G65" s="28">
        <v>17.3969</v>
      </c>
      <c r="H65" s="88">
        <v>0</v>
      </c>
      <c r="I65" s="6"/>
    </row>
    <row r="66" spans="1:9" ht="12.75">
      <c r="A66" s="5" t="s">
        <v>32</v>
      </c>
      <c r="B66" s="16" t="s">
        <v>136</v>
      </c>
      <c r="C66" s="16" t="s">
        <v>221</v>
      </c>
      <c r="D66" s="161" t="s">
        <v>390</v>
      </c>
      <c r="E66" s="162"/>
      <c r="F66" s="16" t="s">
        <v>461</v>
      </c>
      <c r="G66" s="28">
        <v>33</v>
      </c>
      <c r="H66" s="88">
        <v>0</v>
      </c>
      <c r="I66" s="6"/>
    </row>
    <row r="67" spans="1:9" ht="12.75">
      <c r="A67" s="5" t="s">
        <v>33</v>
      </c>
      <c r="B67" s="16" t="s">
        <v>136</v>
      </c>
      <c r="C67" s="16" t="s">
        <v>226</v>
      </c>
      <c r="D67" s="161" t="s">
        <v>408</v>
      </c>
      <c r="E67" s="162"/>
      <c r="F67" s="16" t="s">
        <v>461</v>
      </c>
      <c r="G67" s="28">
        <v>48</v>
      </c>
      <c r="H67" s="88">
        <v>0</v>
      </c>
      <c r="I67" s="6"/>
    </row>
    <row r="68" spans="1:9" ht="12.75">
      <c r="A68" s="5" t="s">
        <v>34</v>
      </c>
      <c r="B68" s="16" t="s">
        <v>136</v>
      </c>
      <c r="C68" s="16" t="s">
        <v>227</v>
      </c>
      <c r="D68" s="161" t="s">
        <v>410</v>
      </c>
      <c r="E68" s="162"/>
      <c r="F68" s="16" t="s">
        <v>461</v>
      </c>
      <c r="G68" s="28">
        <v>36</v>
      </c>
      <c r="H68" s="88">
        <v>0</v>
      </c>
      <c r="I68" s="6"/>
    </row>
    <row r="69" spans="1:9" ht="12.75">
      <c r="A69" s="77"/>
      <c r="B69" s="15"/>
      <c r="C69" s="15" t="s">
        <v>95</v>
      </c>
      <c r="D69" s="166" t="s">
        <v>356</v>
      </c>
      <c r="E69" s="167"/>
      <c r="F69" s="15"/>
      <c r="G69" s="39"/>
      <c r="H69" s="44"/>
      <c r="I69" s="6"/>
    </row>
    <row r="70" spans="1:9" ht="12.75">
      <c r="A70" s="5" t="s">
        <v>35</v>
      </c>
      <c r="B70" s="16" t="s">
        <v>136</v>
      </c>
      <c r="C70" s="16" t="s">
        <v>229</v>
      </c>
      <c r="D70" s="161" t="s">
        <v>413</v>
      </c>
      <c r="E70" s="162"/>
      <c r="F70" s="16" t="s">
        <v>458</v>
      </c>
      <c r="G70" s="28">
        <v>5</v>
      </c>
      <c r="H70" s="88">
        <v>0</v>
      </c>
      <c r="I70" s="6"/>
    </row>
    <row r="71" spans="1:9" ht="12.75">
      <c r="A71" s="5" t="s">
        <v>36</v>
      </c>
      <c r="B71" s="16" t="s">
        <v>136</v>
      </c>
      <c r="C71" s="16" t="s">
        <v>230</v>
      </c>
      <c r="D71" s="161" t="s">
        <v>415</v>
      </c>
      <c r="E71" s="162"/>
      <c r="F71" s="16" t="s">
        <v>458</v>
      </c>
      <c r="G71" s="28">
        <v>5</v>
      </c>
      <c r="H71" s="88">
        <v>0</v>
      </c>
      <c r="I71" s="6"/>
    </row>
    <row r="72" spans="1:9" ht="12.75">
      <c r="A72" s="5" t="s">
        <v>37</v>
      </c>
      <c r="B72" s="16" t="s">
        <v>136</v>
      </c>
      <c r="C72" s="16" t="s">
        <v>231</v>
      </c>
      <c r="D72" s="161" t="s">
        <v>417</v>
      </c>
      <c r="E72" s="162"/>
      <c r="F72" s="16" t="s">
        <v>458</v>
      </c>
      <c r="G72" s="28">
        <v>300</v>
      </c>
      <c r="H72" s="88">
        <v>0</v>
      </c>
      <c r="I72" s="6"/>
    </row>
    <row r="73" spans="1:9" ht="12.75">
      <c r="A73" s="5" t="s">
        <v>38</v>
      </c>
      <c r="B73" s="16" t="s">
        <v>136</v>
      </c>
      <c r="C73" s="16" t="s">
        <v>232</v>
      </c>
      <c r="D73" s="161" t="s">
        <v>418</v>
      </c>
      <c r="E73" s="162"/>
      <c r="F73" s="16" t="s">
        <v>460</v>
      </c>
      <c r="G73" s="28">
        <v>117.76</v>
      </c>
      <c r="H73" s="88">
        <v>0</v>
      </c>
      <c r="I73" s="6"/>
    </row>
    <row r="74" spans="1:9" ht="12" customHeight="1">
      <c r="A74" s="6"/>
      <c r="D74" s="81" t="s">
        <v>419</v>
      </c>
      <c r="E74" s="189"/>
      <c r="F74" s="190"/>
      <c r="G74" s="84">
        <v>117.76</v>
      </c>
      <c r="H74" s="47"/>
      <c r="I74" s="6"/>
    </row>
    <row r="75" spans="1:9" ht="12.75">
      <c r="A75" s="8" t="s">
        <v>39</v>
      </c>
      <c r="B75" s="18" t="s">
        <v>134</v>
      </c>
      <c r="C75" s="18" t="s">
        <v>201</v>
      </c>
      <c r="D75" s="175" t="s">
        <v>361</v>
      </c>
      <c r="E75" s="176"/>
      <c r="F75" s="18" t="s">
        <v>458</v>
      </c>
      <c r="G75" s="30">
        <v>2</v>
      </c>
      <c r="H75" s="89">
        <v>0</v>
      </c>
      <c r="I75" s="6"/>
    </row>
    <row r="76" spans="1:9" ht="12.75">
      <c r="A76" s="5" t="s">
        <v>40</v>
      </c>
      <c r="B76" s="16" t="s">
        <v>134</v>
      </c>
      <c r="C76" s="16" t="s">
        <v>208</v>
      </c>
      <c r="D76" s="161" t="s">
        <v>368</v>
      </c>
      <c r="E76" s="162"/>
      <c r="F76" s="16" t="s">
        <v>458</v>
      </c>
      <c r="G76" s="28">
        <v>4</v>
      </c>
      <c r="H76" s="88">
        <v>0</v>
      </c>
      <c r="I76" s="6"/>
    </row>
    <row r="77" spans="1:9" ht="12.75">
      <c r="A77" s="8" t="s">
        <v>41</v>
      </c>
      <c r="B77" s="18" t="s">
        <v>134</v>
      </c>
      <c r="C77" s="18" t="s">
        <v>209</v>
      </c>
      <c r="D77" s="175" t="s">
        <v>369</v>
      </c>
      <c r="E77" s="176"/>
      <c r="F77" s="18" t="s">
        <v>458</v>
      </c>
      <c r="G77" s="30">
        <v>2</v>
      </c>
      <c r="H77" s="89">
        <v>0</v>
      </c>
      <c r="I77" s="6"/>
    </row>
    <row r="78" spans="1:9" ht="12.75">
      <c r="A78" s="5" t="s">
        <v>42</v>
      </c>
      <c r="B78" s="16" t="s">
        <v>134</v>
      </c>
      <c r="C78" s="16" t="s">
        <v>214</v>
      </c>
      <c r="D78" s="161" t="s">
        <v>375</v>
      </c>
      <c r="E78" s="162"/>
      <c r="F78" s="16" t="s">
        <v>461</v>
      </c>
      <c r="G78" s="28">
        <v>180</v>
      </c>
      <c r="H78" s="88">
        <v>0</v>
      </c>
      <c r="I78" s="6"/>
    </row>
    <row r="79" spans="1:9" ht="12.75">
      <c r="A79" s="5" t="s">
        <v>43</v>
      </c>
      <c r="B79" s="16" t="s">
        <v>134</v>
      </c>
      <c r="C79" s="16" t="s">
        <v>215</v>
      </c>
      <c r="D79" s="161" t="s">
        <v>376</v>
      </c>
      <c r="E79" s="162"/>
      <c r="F79" s="16" t="s">
        <v>461</v>
      </c>
      <c r="G79" s="28">
        <v>180</v>
      </c>
      <c r="H79" s="88">
        <v>0</v>
      </c>
      <c r="I79" s="6"/>
    </row>
    <row r="80" spans="1:9" ht="12.75">
      <c r="A80" s="77"/>
      <c r="B80" s="15"/>
      <c r="C80" s="15" t="s">
        <v>166</v>
      </c>
      <c r="D80" s="166" t="s">
        <v>307</v>
      </c>
      <c r="E80" s="167"/>
      <c r="F80" s="15"/>
      <c r="G80" s="39"/>
      <c r="H80" s="44"/>
      <c r="I80" s="6"/>
    </row>
    <row r="81" spans="1:9" ht="12.75">
      <c r="A81" s="5" t="s">
        <v>44</v>
      </c>
      <c r="B81" s="16" t="s">
        <v>132</v>
      </c>
      <c r="C81" s="16" t="s">
        <v>167</v>
      </c>
      <c r="D81" s="161" t="s">
        <v>308</v>
      </c>
      <c r="E81" s="162"/>
      <c r="F81" s="16" t="s">
        <v>462</v>
      </c>
      <c r="G81" s="28">
        <v>3989.252</v>
      </c>
      <c r="H81" s="88">
        <v>0</v>
      </c>
      <c r="I81" s="6"/>
    </row>
    <row r="82" spans="1:9" ht="12.75">
      <c r="A82" s="77"/>
      <c r="B82" s="15"/>
      <c r="C82" s="15" t="s">
        <v>216</v>
      </c>
      <c r="D82" s="166" t="s">
        <v>377</v>
      </c>
      <c r="E82" s="167"/>
      <c r="F82" s="15"/>
      <c r="G82" s="39"/>
      <c r="H82" s="44"/>
      <c r="I82" s="6"/>
    </row>
    <row r="83" spans="1:9" ht="12.75">
      <c r="A83" s="78" t="s">
        <v>45</v>
      </c>
      <c r="B83" s="80" t="s">
        <v>136</v>
      </c>
      <c r="C83" s="80" t="s">
        <v>217</v>
      </c>
      <c r="D83" s="187" t="s">
        <v>378</v>
      </c>
      <c r="E83" s="188"/>
      <c r="F83" s="80" t="s">
        <v>462</v>
      </c>
      <c r="G83" s="85">
        <v>109.6816</v>
      </c>
      <c r="H83" s="90">
        <v>0</v>
      </c>
      <c r="I83" s="6"/>
    </row>
    <row r="84" spans="1:8" ht="12.75">
      <c r="A84" s="10"/>
      <c r="B84" s="10"/>
      <c r="C84" s="10"/>
      <c r="D84" s="10"/>
      <c r="E84" s="10"/>
      <c r="F84" s="10"/>
      <c r="G84" s="10"/>
      <c r="H84" s="10"/>
    </row>
    <row r="85" ht="11.25" customHeight="1">
      <c r="A85" s="11" t="s">
        <v>129</v>
      </c>
    </row>
    <row r="86" spans="1:7" ht="12.75">
      <c r="A86" s="116"/>
      <c r="B86" s="117"/>
      <c r="C86" s="117"/>
      <c r="D86" s="117"/>
      <c r="E86" s="117"/>
      <c r="F86" s="117"/>
      <c r="G86" s="117"/>
    </row>
  </sheetData>
  <sheetProtection/>
  <mergeCells count="92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  <mergeCell ref="D10:E10"/>
    <mergeCell ref="D11:E11"/>
    <mergeCell ref="D12:E12"/>
    <mergeCell ref="E13:F13"/>
    <mergeCell ref="D14:E14"/>
    <mergeCell ref="E15:F15"/>
    <mergeCell ref="D16:E16"/>
    <mergeCell ref="E17:F17"/>
    <mergeCell ref="D18:E18"/>
    <mergeCell ref="E19:F19"/>
    <mergeCell ref="D20:E20"/>
    <mergeCell ref="D21:E21"/>
    <mergeCell ref="E22:F22"/>
    <mergeCell ref="D23:E23"/>
    <mergeCell ref="E24:F24"/>
    <mergeCell ref="D25:E25"/>
    <mergeCell ref="E26:F26"/>
    <mergeCell ref="D27:E27"/>
    <mergeCell ref="E28:F28"/>
    <mergeCell ref="E29:F29"/>
    <mergeCell ref="D30:E30"/>
    <mergeCell ref="E31:F31"/>
    <mergeCell ref="D32:E32"/>
    <mergeCell ref="E33:F33"/>
    <mergeCell ref="D34:E34"/>
    <mergeCell ref="E35:F35"/>
    <mergeCell ref="D36:E36"/>
    <mergeCell ref="D37:E37"/>
    <mergeCell ref="E38:F38"/>
    <mergeCell ref="D39:E39"/>
    <mergeCell ref="E40:F40"/>
    <mergeCell ref="D41:E41"/>
    <mergeCell ref="E42:F42"/>
    <mergeCell ref="E43:F43"/>
    <mergeCell ref="D44:E44"/>
    <mergeCell ref="D45:E45"/>
    <mergeCell ref="D46:E46"/>
    <mergeCell ref="D47:E47"/>
    <mergeCell ref="E48:F48"/>
    <mergeCell ref="D49:E49"/>
    <mergeCell ref="D50:E50"/>
    <mergeCell ref="D51:E51"/>
    <mergeCell ref="D52:E52"/>
    <mergeCell ref="E53:F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E63:F63"/>
    <mergeCell ref="E64:F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E74:F74"/>
    <mergeCell ref="D75:E75"/>
    <mergeCell ref="D82:E82"/>
    <mergeCell ref="D83:E83"/>
    <mergeCell ref="A86:G86"/>
    <mergeCell ref="D76:E76"/>
    <mergeCell ref="D77:E77"/>
    <mergeCell ref="D78:E78"/>
    <mergeCell ref="D79:E79"/>
    <mergeCell ref="D80:E80"/>
    <mergeCell ref="D81:E81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K14" sqref="K14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115"/>
      <c r="B1" s="91"/>
      <c r="C1" s="146" t="s">
        <v>625</v>
      </c>
      <c r="D1" s="147"/>
      <c r="E1" s="147"/>
      <c r="F1" s="147"/>
      <c r="G1" s="147"/>
      <c r="H1" s="147"/>
      <c r="I1" s="147"/>
    </row>
    <row r="2" spans="1:10" ht="12.75">
      <c r="A2" s="148" t="s">
        <v>1</v>
      </c>
      <c r="B2" s="149"/>
      <c r="C2" s="150" t="str">
        <f>'Stavební rozpočet'!D2</f>
        <v>Zařízení pro sběr a výkup odpadů</v>
      </c>
      <c r="D2" s="151"/>
      <c r="E2" s="153" t="s">
        <v>470</v>
      </c>
      <c r="F2" s="153" t="str">
        <f>'Stavební rozpočet'!J2</f>
        <v> </v>
      </c>
      <c r="G2" s="149"/>
      <c r="H2" s="153" t="s">
        <v>613</v>
      </c>
      <c r="I2" s="154"/>
      <c r="J2" s="6"/>
    </row>
    <row r="3" spans="1:10" ht="12.75">
      <c r="A3" s="143"/>
      <c r="B3" s="117"/>
      <c r="C3" s="152"/>
      <c r="D3" s="152"/>
      <c r="E3" s="117"/>
      <c r="F3" s="117"/>
      <c r="G3" s="117"/>
      <c r="H3" s="117"/>
      <c r="I3" s="145"/>
      <c r="J3" s="6"/>
    </row>
    <row r="4" spans="1:10" ht="12.75">
      <c r="A4" s="137" t="s">
        <v>2</v>
      </c>
      <c r="B4" s="117"/>
      <c r="C4" s="116" t="str">
        <f>'Stavební rozpočet'!D4</f>
        <v> </v>
      </c>
      <c r="D4" s="117"/>
      <c r="E4" s="116" t="s">
        <v>471</v>
      </c>
      <c r="F4" s="116" t="str">
        <f>'Stavební rozpočet'!J4</f>
        <v> </v>
      </c>
      <c r="G4" s="117"/>
      <c r="H4" s="116" t="s">
        <v>613</v>
      </c>
      <c r="I4" s="144"/>
      <c r="J4" s="6"/>
    </row>
    <row r="5" spans="1:10" ht="12.75">
      <c r="A5" s="143"/>
      <c r="B5" s="117"/>
      <c r="C5" s="117"/>
      <c r="D5" s="117"/>
      <c r="E5" s="117"/>
      <c r="F5" s="117"/>
      <c r="G5" s="117"/>
      <c r="H5" s="117"/>
      <c r="I5" s="145"/>
      <c r="J5" s="6"/>
    </row>
    <row r="6" spans="1:10" ht="12.75">
      <c r="A6" s="137" t="s">
        <v>3</v>
      </c>
      <c r="B6" s="117"/>
      <c r="C6" s="116" t="str">
        <f>'Stavební rozpočet'!D6</f>
        <v>Střítež u Kaplice</v>
      </c>
      <c r="D6" s="117"/>
      <c r="E6" s="116" t="s">
        <v>472</v>
      </c>
      <c r="F6" s="116" t="str">
        <f>'Stavební rozpočet'!J6</f>
        <v> </v>
      </c>
      <c r="G6" s="117"/>
      <c r="H6" s="116" t="s">
        <v>613</v>
      </c>
      <c r="I6" s="144"/>
      <c r="J6" s="6"/>
    </row>
    <row r="7" spans="1:10" ht="12.75">
      <c r="A7" s="143"/>
      <c r="B7" s="117"/>
      <c r="C7" s="117"/>
      <c r="D7" s="117"/>
      <c r="E7" s="117"/>
      <c r="F7" s="117"/>
      <c r="G7" s="117"/>
      <c r="H7" s="117"/>
      <c r="I7" s="145"/>
      <c r="J7" s="6"/>
    </row>
    <row r="8" spans="1:10" ht="12.75">
      <c r="A8" s="137" t="s">
        <v>454</v>
      </c>
      <c r="B8" s="117"/>
      <c r="C8" s="116" t="str">
        <f>'Stavební rozpočet'!H4</f>
        <v> </v>
      </c>
      <c r="D8" s="117"/>
      <c r="E8" s="116" t="s">
        <v>455</v>
      </c>
      <c r="F8" s="116" t="str">
        <f>'Stavební rozpočet'!H6</f>
        <v> </v>
      </c>
      <c r="G8" s="117"/>
      <c r="H8" s="140" t="s">
        <v>614</v>
      </c>
      <c r="I8" s="144" t="s">
        <v>128</v>
      </c>
      <c r="J8" s="6"/>
    </row>
    <row r="9" spans="1:10" ht="12.75">
      <c r="A9" s="143"/>
      <c r="B9" s="117"/>
      <c r="C9" s="117"/>
      <c r="D9" s="117"/>
      <c r="E9" s="117"/>
      <c r="F9" s="117"/>
      <c r="G9" s="117"/>
      <c r="H9" s="117"/>
      <c r="I9" s="145"/>
      <c r="J9" s="6"/>
    </row>
    <row r="10" spans="1:10" ht="12.75">
      <c r="A10" s="137" t="s">
        <v>4</v>
      </c>
      <c r="B10" s="117"/>
      <c r="C10" s="116" t="str">
        <f>'Stavební rozpočet'!D8</f>
        <v> </v>
      </c>
      <c r="D10" s="117"/>
      <c r="E10" s="116" t="s">
        <v>473</v>
      </c>
      <c r="F10" s="116" t="str">
        <f>'Stavební rozpočet'!J8</f>
        <v> </v>
      </c>
      <c r="G10" s="117"/>
      <c r="H10" s="140" t="s">
        <v>615</v>
      </c>
      <c r="I10" s="141" t="str">
        <f>'Stavební rozpočet'!H8</f>
        <v>28.06.2022</v>
      </c>
      <c r="J10" s="6"/>
    </row>
    <row r="11" spans="1:10" ht="12.75">
      <c r="A11" s="138"/>
      <c r="B11" s="139"/>
      <c r="C11" s="139"/>
      <c r="D11" s="139"/>
      <c r="E11" s="139"/>
      <c r="F11" s="139"/>
      <c r="G11" s="139"/>
      <c r="H11" s="139"/>
      <c r="I11" s="142"/>
      <c r="J11" s="6"/>
    </row>
    <row r="12" spans="1:9" ht="12.7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5" customHeight="1">
      <c r="A13" s="207" t="s">
        <v>617</v>
      </c>
      <c r="B13" s="208"/>
      <c r="C13" s="208"/>
      <c r="D13" s="208"/>
      <c r="E13" s="208"/>
      <c r="F13" s="107"/>
      <c r="G13" s="107"/>
      <c r="H13" s="107"/>
      <c r="I13" s="107"/>
    </row>
    <row r="14" spans="1:10" ht="12.75">
      <c r="A14" s="209" t="s">
        <v>618</v>
      </c>
      <c r="B14" s="210"/>
      <c r="C14" s="210"/>
      <c r="D14" s="210"/>
      <c r="E14" s="211"/>
      <c r="F14" s="108" t="s">
        <v>626</v>
      </c>
      <c r="G14" s="108" t="s">
        <v>627</v>
      </c>
      <c r="H14" s="108" t="s">
        <v>628</v>
      </c>
      <c r="I14" s="108" t="s">
        <v>626</v>
      </c>
      <c r="J14" s="50"/>
    </row>
    <row r="15" spans="1:10" ht="12.75">
      <c r="A15" s="212" t="s">
        <v>590</v>
      </c>
      <c r="B15" s="213"/>
      <c r="C15" s="213"/>
      <c r="D15" s="213"/>
      <c r="E15" s="214"/>
      <c r="F15" s="109">
        <v>0</v>
      </c>
      <c r="G15" s="111"/>
      <c r="H15" s="111"/>
      <c r="I15" s="109">
        <f>F15</f>
        <v>0</v>
      </c>
      <c r="J15" s="6"/>
    </row>
    <row r="16" spans="1:10" ht="12.75">
      <c r="A16" s="212" t="s">
        <v>591</v>
      </c>
      <c r="B16" s="213"/>
      <c r="C16" s="213"/>
      <c r="D16" s="213"/>
      <c r="E16" s="214"/>
      <c r="F16" s="109">
        <v>0</v>
      </c>
      <c r="G16" s="111"/>
      <c r="H16" s="111"/>
      <c r="I16" s="109">
        <f>F16</f>
        <v>0</v>
      </c>
      <c r="J16" s="6"/>
    </row>
    <row r="17" spans="1:10" ht="12.75">
      <c r="A17" s="195" t="s">
        <v>592</v>
      </c>
      <c r="B17" s="196"/>
      <c r="C17" s="196"/>
      <c r="D17" s="196"/>
      <c r="E17" s="197"/>
      <c r="F17" s="110">
        <v>0</v>
      </c>
      <c r="G17" s="112"/>
      <c r="H17" s="112"/>
      <c r="I17" s="110">
        <f>F17</f>
        <v>0</v>
      </c>
      <c r="J17" s="6"/>
    </row>
    <row r="18" spans="1:10" ht="12.75">
      <c r="A18" s="198" t="s">
        <v>619</v>
      </c>
      <c r="B18" s="199"/>
      <c r="C18" s="199"/>
      <c r="D18" s="199"/>
      <c r="E18" s="200"/>
      <c r="F18" s="60"/>
      <c r="G18" s="113"/>
      <c r="H18" s="113"/>
      <c r="I18" s="114">
        <f>SUM(I15:I17)</f>
        <v>0</v>
      </c>
      <c r="J18" s="50"/>
    </row>
    <row r="19" spans="1:9" ht="12.75">
      <c r="A19" s="106"/>
      <c r="B19" s="106"/>
      <c r="C19" s="106"/>
      <c r="D19" s="106"/>
      <c r="E19" s="106"/>
      <c r="F19" s="106"/>
      <c r="G19" s="106"/>
      <c r="H19" s="106"/>
      <c r="I19" s="106"/>
    </row>
    <row r="20" spans="1:10" ht="12.75">
      <c r="A20" s="209" t="s">
        <v>616</v>
      </c>
      <c r="B20" s="210"/>
      <c r="C20" s="210"/>
      <c r="D20" s="210"/>
      <c r="E20" s="211"/>
      <c r="F20" s="108" t="s">
        <v>626</v>
      </c>
      <c r="G20" s="108" t="s">
        <v>627</v>
      </c>
      <c r="H20" s="108" t="s">
        <v>628</v>
      </c>
      <c r="I20" s="108" t="s">
        <v>626</v>
      </c>
      <c r="J20" s="50"/>
    </row>
    <row r="21" spans="1:10" ht="12.75">
      <c r="A21" s="212" t="s">
        <v>600</v>
      </c>
      <c r="B21" s="213"/>
      <c r="C21" s="213"/>
      <c r="D21" s="213"/>
      <c r="E21" s="214"/>
      <c r="F21" s="111"/>
      <c r="G21" s="109">
        <v>1.5</v>
      </c>
      <c r="H21" s="109">
        <f>'Krycí list rozpočtu'!C22</f>
        <v>0</v>
      </c>
      <c r="I21" s="109">
        <f>ROUND((G21/100)*H21,2)</f>
        <v>0</v>
      </c>
      <c r="J21" s="6"/>
    </row>
    <row r="22" spans="1:10" ht="12.75">
      <c r="A22" s="212"/>
      <c r="B22" s="213"/>
      <c r="C22" s="213"/>
      <c r="D22" s="213"/>
      <c r="E22" s="214"/>
      <c r="F22" s="109"/>
      <c r="G22" s="111"/>
      <c r="H22" s="111"/>
      <c r="I22" s="109"/>
      <c r="J22" s="6"/>
    </row>
    <row r="23" spans="1:10" ht="12.75">
      <c r="A23" s="212"/>
      <c r="B23" s="213"/>
      <c r="C23" s="213"/>
      <c r="D23" s="213"/>
      <c r="E23" s="214"/>
      <c r="F23" s="109"/>
      <c r="G23" s="111"/>
      <c r="H23" s="111"/>
      <c r="I23" s="109"/>
      <c r="J23" s="6"/>
    </row>
    <row r="24" spans="1:10" ht="12.75">
      <c r="A24" s="212"/>
      <c r="B24" s="213"/>
      <c r="C24" s="213"/>
      <c r="D24" s="213"/>
      <c r="E24" s="214"/>
      <c r="F24" s="109"/>
      <c r="G24" s="111"/>
      <c r="H24" s="111"/>
      <c r="I24" s="109"/>
      <c r="J24" s="6"/>
    </row>
    <row r="25" spans="1:10" ht="12.75">
      <c r="A25" s="212"/>
      <c r="B25" s="213"/>
      <c r="C25" s="213"/>
      <c r="D25" s="213"/>
      <c r="E25" s="214"/>
      <c r="F25" s="109"/>
      <c r="G25" s="111"/>
      <c r="H25" s="111"/>
      <c r="I25" s="109"/>
      <c r="J25" s="6"/>
    </row>
    <row r="26" spans="1:10" ht="12.75">
      <c r="A26" s="195"/>
      <c r="B26" s="196"/>
      <c r="C26" s="196"/>
      <c r="D26" s="196"/>
      <c r="E26" s="197"/>
      <c r="F26" s="110"/>
      <c r="G26" s="112"/>
      <c r="H26" s="112"/>
      <c r="I26" s="110"/>
      <c r="J26" s="6"/>
    </row>
    <row r="27" spans="1:10" ht="12.75">
      <c r="A27" s="198" t="s">
        <v>620</v>
      </c>
      <c r="B27" s="199"/>
      <c r="C27" s="199"/>
      <c r="D27" s="199"/>
      <c r="E27" s="200"/>
      <c r="F27" s="60"/>
      <c r="G27" s="113"/>
      <c r="H27" s="113"/>
      <c r="I27" s="114">
        <f>SUM(I21:I26)</f>
        <v>0</v>
      </c>
      <c r="J27" s="50"/>
    </row>
    <row r="28" spans="1:9" ht="12.75">
      <c r="A28" s="106"/>
      <c r="B28" s="106"/>
      <c r="C28" s="106"/>
      <c r="D28" s="106"/>
      <c r="E28" s="106"/>
      <c r="F28" s="106"/>
      <c r="G28" s="106"/>
      <c r="H28" s="106"/>
      <c r="I28" s="106"/>
    </row>
    <row r="29" spans="1:10" ht="15" customHeight="1">
      <c r="A29" s="201" t="s">
        <v>621</v>
      </c>
      <c r="B29" s="202"/>
      <c r="C29" s="202"/>
      <c r="D29" s="202"/>
      <c r="E29" s="203"/>
      <c r="F29" s="204">
        <f>I18+I27</f>
        <v>0</v>
      </c>
      <c r="G29" s="205"/>
      <c r="H29" s="205"/>
      <c r="I29" s="206"/>
      <c r="J29" s="50"/>
    </row>
    <row r="30" spans="1:9" ht="12.75">
      <c r="A30" s="98"/>
      <c r="B30" s="98"/>
      <c r="C30" s="98"/>
      <c r="D30" s="98"/>
      <c r="E30" s="98"/>
      <c r="F30" s="98"/>
      <c r="G30" s="98"/>
      <c r="H30" s="98"/>
      <c r="I30" s="98"/>
    </row>
    <row r="33" spans="1:9" ht="15" customHeight="1">
      <c r="A33" s="207" t="s">
        <v>622</v>
      </c>
      <c r="B33" s="208"/>
      <c r="C33" s="208"/>
      <c r="D33" s="208"/>
      <c r="E33" s="208"/>
      <c r="F33" s="107"/>
      <c r="G33" s="107"/>
      <c r="H33" s="107"/>
      <c r="I33" s="107"/>
    </row>
    <row r="34" spans="1:10" ht="12.75">
      <c r="A34" s="209" t="s">
        <v>623</v>
      </c>
      <c r="B34" s="210"/>
      <c r="C34" s="210"/>
      <c r="D34" s="210"/>
      <c r="E34" s="211"/>
      <c r="F34" s="108" t="s">
        <v>626</v>
      </c>
      <c r="G34" s="108" t="s">
        <v>627</v>
      </c>
      <c r="H34" s="108" t="s">
        <v>628</v>
      </c>
      <c r="I34" s="108" t="s">
        <v>626</v>
      </c>
      <c r="J34" s="50"/>
    </row>
    <row r="35" spans="1:10" ht="12.75">
      <c r="A35" s="195"/>
      <c r="B35" s="196"/>
      <c r="C35" s="196"/>
      <c r="D35" s="196"/>
      <c r="E35" s="197"/>
      <c r="F35" s="110"/>
      <c r="G35" s="112"/>
      <c r="H35" s="112"/>
      <c r="I35" s="110"/>
      <c r="J35" s="6"/>
    </row>
    <row r="36" spans="1:10" ht="12.75">
      <c r="A36" s="198" t="s">
        <v>624</v>
      </c>
      <c r="B36" s="199"/>
      <c r="C36" s="199"/>
      <c r="D36" s="199"/>
      <c r="E36" s="200"/>
      <c r="F36" s="60"/>
      <c r="G36" s="113"/>
      <c r="H36" s="113"/>
      <c r="I36" s="114"/>
      <c r="J36" s="50"/>
    </row>
    <row r="37" spans="1:9" ht="12.75">
      <c r="A37" s="98"/>
      <c r="B37" s="98"/>
      <c r="C37" s="98"/>
      <c r="D37" s="98"/>
      <c r="E37" s="98"/>
      <c r="F37" s="98"/>
      <c r="G37" s="98"/>
      <c r="H37" s="98"/>
      <c r="I37" s="98"/>
    </row>
  </sheetData>
  <sheetProtection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Užívatel</cp:lastModifiedBy>
  <dcterms:modified xsi:type="dcterms:W3CDTF">2022-06-30T13:53:54Z</dcterms:modified>
  <cp:category/>
  <cp:version/>
  <cp:contentType/>
  <cp:contentStatus/>
</cp:coreProperties>
</file>