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0" windowHeight="10140" tabRatio="622" activeTab="3"/>
  </bookViews>
  <sheets>
    <sheet name="Krycí list rozpočtu" sheetId="1" r:id="rId1"/>
    <sheet name="Stavební rozpočet - součet" sheetId="2" r:id="rId2"/>
    <sheet name="Stavební rozpočet" sheetId="3" r:id="rId3"/>
    <sheet name="Výkaz výměr" sheetId="4" r:id="rId4"/>
    <sheet name="VORN" sheetId="5" r:id="rId5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<sst xmlns="http://schemas.openxmlformats.org/spreadsheetml/2006/main" count="1607" uniqueCount="439">
  <si>
    <t>Stavební rozpočet</t>
  </si>
  <si>
    <t>Název stavby:</t>
  </si>
  <si>
    <t>Doba výstavby:</t>
  </si>
  <si>
    <t xml:space="preserve"> </t>
  </si>
  <si>
    <t>Objednatel:</t>
  </si>
  <si>
    <t> </t>
  </si>
  <si>
    <t>Druh stavby:</t>
  </si>
  <si>
    <t>Začátek výstavby:</t>
  </si>
  <si>
    <t>Projektant:</t>
  </si>
  <si>
    <t>Lokalita:</t>
  </si>
  <si>
    <t>Suchonice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</si>
  <si>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</si>
  <si>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</si>
  <si>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</si>
  <si>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</si>
  <si>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</si>
  <si>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</si>
  <si>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</si>
  <si>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</si>
  <si>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 / Varianta</t>
  </si>
  <si>
    <t>MJ</t>
  </si>
  <si>
    <t>Množství</t>
  </si>
  <si>
    <t>Cena/MJ</t>
  </si>
  <si>
    <t>Náklady (Kč)</t>
  </si>
  <si>
    <t>Hmotnost (t)</t>
  </si>
  <si>
    <t>Cenová</t>
  </si>
  <si>
    <t>Rozměry</t>
  </si>
  <si>
    <t>(Kč)</t>
  </si>
  <si>
    <t>Dodávka</t>
  </si>
  <si>
    <t>Montáž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</si>
  <si>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</si>
  <si>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</si>
  <si>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</si>
  <si>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</si>
  <si>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</si>
  <si>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</si>
  <si>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</si>
  <si>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</si>
  <si>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</si>
  <si>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</si>
  <si>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</si>
  <si>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</si>
  <si>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</si>
  <si>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</si>
  <si>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</si>
  <si>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01</t>
  </si>
  <si>
    <t>Oprava panelové plochy</t>
  </si>
  <si>
    <t>12</t>
  </si>
  <si>
    <t>Odkopávky a prokopávky</t>
  </si>
  <si>
    <t>1</t>
  </si>
  <si>
    <t>122201103R00</t>
  </si>
  <si>
    <t>Odkopávky nezapažené v hor. 3 do 10000 m3</t>
  </si>
  <si>
    <t>m3</t>
  </si>
  <si>
    <t>RTS I / 2020</t>
  </si>
  <si>
    <t>12_</t>
  </si>
  <si>
    <t>01_1_</t>
  </si>
  <si>
    <t>01_</t>
  </si>
  <si>
    <t>13</t>
  </si>
  <si>
    <t>Hloubené vykopávky</t>
  </si>
  <si>
    <t>2</t>
  </si>
  <si>
    <t>132201111R00</t>
  </si>
  <si>
    <t>Hloubení rýh š.do 60 cm v hor.3 do 100 m3, STROJNĚ</t>
  </si>
  <si>
    <t>13_</t>
  </si>
  <si>
    <t>3</t>
  </si>
  <si>
    <t>131201113R00</t>
  </si>
  <si>
    <t>Hloubení nezapaž. jam hor.3 do 10000 m3, STROJNĚ</t>
  </si>
  <si>
    <t>14</t>
  </si>
  <si>
    <t>Ražení a hloubení tunelářské</t>
  </si>
  <si>
    <t>4</t>
  </si>
  <si>
    <t>131201110R00</t>
  </si>
  <si>
    <t>Hloubení nezapaž. jam hor.3 do 50 m3, STROJNĚ</t>
  </si>
  <si>
    <t>14_</t>
  </si>
  <si>
    <t>Varianta:</t>
  </si>
  <si>
    <t>startovací jáma</t>
  </si>
  <si>
    <t>5</t>
  </si>
  <si>
    <t>141721102R00</t>
  </si>
  <si>
    <t>Řízené protlačení a vtažení PE d 160 mm, hor.1 - 4</t>
  </si>
  <si>
    <t>m</t>
  </si>
  <si>
    <t>16</t>
  </si>
  <si>
    <t>Přemístění výkopku</t>
  </si>
  <si>
    <t>6</t>
  </si>
  <si>
    <t>162301102R00</t>
  </si>
  <si>
    <t>Vodorovné přemístění výkopku z hor.1-4 do 1000 m</t>
  </si>
  <si>
    <t>16_</t>
  </si>
  <si>
    <t>18</t>
  </si>
  <si>
    <t>Povrchové úpravy terénu</t>
  </si>
  <si>
    <t>7</t>
  </si>
  <si>
    <t>181101102R00</t>
  </si>
  <si>
    <t>Úprava pláně v zářezech v hor. 1-4, se zhutněním</t>
  </si>
  <si>
    <t>m2</t>
  </si>
  <si>
    <t>18_</t>
  </si>
  <si>
    <t>21</t>
  </si>
  <si>
    <t>Úprava podloží a základové spáry</t>
  </si>
  <si>
    <t>8</t>
  </si>
  <si>
    <t>212521111R00</t>
  </si>
  <si>
    <t>Výplň odvodňov. trativodů kam. hrubě drcen. 125 mm</t>
  </si>
  <si>
    <t>21_</t>
  </si>
  <si>
    <t>01_2_</t>
  </si>
  <si>
    <t>9</t>
  </si>
  <si>
    <t>212971122R00</t>
  </si>
  <si>
    <t>Opláštění vsaku z geot.,sklon nad 1:2,5 nad 2,5 m</t>
  </si>
  <si>
    <t>10</t>
  </si>
  <si>
    <t>211531111R00</t>
  </si>
  <si>
    <t>Výplň vsakovací jámy kam. hrubě drcen. 63 mm -125 mm</t>
  </si>
  <si>
    <t>56</t>
  </si>
  <si>
    <t>Podkladní vrstvy komunikací, letišť a ploch</t>
  </si>
  <si>
    <t>11</t>
  </si>
  <si>
    <t>564811111RT2</t>
  </si>
  <si>
    <t>Podklad ze štěrkodrti po zhutnění tloušťky 5 cm</t>
  </si>
  <si>
    <t>56_</t>
  </si>
  <si>
    <t>01_5_</t>
  </si>
  <si>
    <t>štěrkodrť frakce 4-8 mm</t>
  </si>
  <si>
    <t>56481111</t>
  </si>
  <si>
    <t>štěrkodrť frakce 0-8 mm</t>
  </si>
  <si>
    <t>5648311RT4</t>
  </si>
  <si>
    <t>Podklad ze štěrkodrti po zhutnění tloušťky 10 cm</t>
  </si>
  <si>
    <t>štěrkodrť frakce 0-90 mm</t>
  </si>
  <si>
    <t>5648611RT4</t>
  </si>
  <si>
    <t>Podklad ze štěrkodrti po zhutnění tloušťky 20 cm 3 vrstvy</t>
  </si>
  <si>
    <t>15</t>
  </si>
  <si>
    <t>181907211R</t>
  </si>
  <si>
    <t>Hutnící zkouška podkladových vrstev</t>
  </si>
  <si>
    <t>ks</t>
  </si>
  <si>
    <t>RTS II / 2020</t>
  </si>
  <si>
    <t>568111111R00</t>
  </si>
  <si>
    <t>Zřízení vrstvy z geotextilie skl.do 1:5, 300g/m2</t>
  </si>
  <si>
    <t>58</t>
  </si>
  <si>
    <t>Kryty pozemních komunikací, letišť a ploch z betonu a ostatních hmot</t>
  </si>
  <si>
    <t>17</t>
  </si>
  <si>
    <t>5648511RT2</t>
  </si>
  <si>
    <t>Kryt z kameniva válcovaného po zhutnění tloušťky do 15 cm</t>
  </si>
  <si>
    <t>58_</t>
  </si>
  <si>
    <t>štěrkodrť frakce 0-32 mm</t>
  </si>
  <si>
    <t>584921121RZ1</t>
  </si>
  <si>
    <t>Zřízení plochy ze silničních panelů lože kam.5 cm</t>
  </si>
  <si>
    <t>pouze montáž, panel ve specifikaci</t>
  </si>
  <si>
    <t>19</t>
  </si>
  <si>
    <t>581142111R00</t>
  </si>
  <si>
    <t>Kryt cementobeton. komunikací tl. 21,5 cm</t>
  </si>
  <si>
    <t>beton C 30/37</t>
  </si>
  <si>
    <t>20</t>
  </si>
  <si>
    <t>5811461R00</t>
  </si>
  <si>
    <t>beton C 30/37 XA2</t>
  </si>
  <si>
    <t>631361921RT4</t>
  </si>
  <si>
    <t>Výztuž mazanin svařovanou sítí</t>
  </si>
  <si>
    <t>t</t>
  </si>
  <si>
    <t>průměr drátu  6,0, oka 100/100 mm KH30</t>
  </si>
  <si>
    <t>22</t>
  </si>
  <si>
    <t>593811</t>
  </si>
  <si>
    <t>Panel silniční železobetonový, tlak kola 50 kN</t>
  </si>
  <si>
    <t>711</t>
  </si>
  <si>
    <t>Izolace proti vodě</t>
  </si>
  <si>
    <t>23</t>
  </si>
  <si>
    <t>7111715RT3</t>
  </si>
  <si>
    <t>Izolace proti vlhkosti vodorovná, fólií, svařovaná</t>
  </si>
  <si>
    <t>711_</t>
  </si>
  <si>
    <t>01_71_</t>
  </si>
  <si>
    <t>včetně fólie PVC Fatrafol 803, tl. 1,5 mm</t>
  </si>
  <si>
    <t>24</t>
  </si>
  <si>
    <t>998711101R00</t>
  </si>
  <si>
    <t>Přesun hmot pro izolace proti vodě, výšky do 6 m</t>
  </si>
  <si>
    <t>87</t>
  </si>
  <si>
    <t>Potrubí z trub plastických, skleněných a čedičových</t>
  </si>
  <si>
    <t>25</t>
  </si>
  <si>
    <t>871311121R00</t>
  </si>
  <si>
    <t>Montáž trubek polyetylenových ve výkopu d 160 mm</t>
  </si>
  <si>
    <t>87_</t>
  </si>
  <si>
    <t>01_8_</t>
  </si>
  <si>
    <t>26</t>
  </si>
  <si>
    <t>286134344</t>
  </si>
  <si>
    <t>Trubka tl. PE100 160x14,6 mm SN16</t>
  </si>
  <si>
    <t>89</t>
  </si>
  <si>
    <t>Ostatní konstrukce a práce na trubním vedení</t>
  </si>
  <si>
    <t>27</t>
  </si>
  <si>
    <t>8959411RT2</t>
  </si>
  <si>
    <t>Zřízení vpusti uliční z dílců typ UVB - 50 s mříží D 400</t>
  </si>
  <si>
    <t>kus</t>
  </si>
  <si>
    <t>89_</t>
  </si>
  <si>
    <t>včetně dodávky dílců pro uliční vpusti TBV</t>
  </si>
  <si>
    <t>97</t>
  </si>
  <si>
    <t>Prorážení otvorů a ostatní bourací práce</t>
  </si>
  <si>
    <t>28</t>
  </si>
  <si>
    <t>97104231R00</t>
  </si>
  <si>
    <t>Vybourání otvorů zdi betonové pr. 200mm, tl.300mm včetně obetonování potrubí</t>
  </si>
  <si>
    <t>97_</t>
  </si>
  <si>
    <t>01_9_</t>
  </si>
  <si>
    <t>H22</t>
  </si>
  <si>
    <t>Komunikace pozemní a letiště</t>
  </si>
  <si>
    <t>29</t>
  </si>
  <si>
    <t>998226011R00</t>
  </si>
  <si>
    <t>Přesun hmot, pozemní komunikace, kryt montovaný</t>
  </si>
  <si>
    <t>H22_</t>
  </si>
  <si>
    <t>30</t>
  </si>
  <si>
    <t>998224111R00</t>
  </si>
  <si>
    <t>Přesun hmot, pozemní komunikace, kryt betonový</t>
  </si>
  <si>
    <t>31</t>
  </si>
  <si>
    <t>998222012R00</t>
  </si>
  <si>
    <t>Přesun hmot, zpevněné plochy, kryt z kameniva</t>
  </si>
  <si>
    <t>02</t>
  </si>
  <si>
    <t>Oprava oplocení</t>
  </si>
  <si>
    <t>32</t>
  </si>
  <si>
    <t>122201102R00</t>
  </si>
  <si>
    <t>Odkopávky nezapažené v hor. 3 do 1000 m3</t>
  </si>
  <si>
    <t>02_1_</t>
  </si>
  <si>
    <t>02_</t>
  </si>
  <si>
    <t>33</t>
  </si>
  <si>
    <t>133210012R00</t>
  </si>
  <si>
    <t>Hloubení šachet zem.vrtákem hor.3-4;D 20cm,</t>
  </si>
  <si>
    <t>34</t>
  </si>
  <si>
    <t>132201212R00</t>
  </si>
  <si>
    <t>Hloubení rýh š.do 200 cm hor.3 do 1000m3,STROJNĚ</t>
  </si>
  <si>
    <t>35</t>
  </si>
  <si>
    <t>131201112R00</t>
  </si>
  <si>
    <t>Hloubení nezapaž. jam hor.3 do 1000 m3, STROJNĚ</t>
  </si>
  <si>
    <t>36</t>
  </si>
  <si>
    <t>Konstrukce ze zemin</t>
  </si>
  <si>
    <t>37</t>
  </si>
  <si>
    <t>174101R00</t>
  </si>
  <si>
    <t>Zásyp zářezů se šikmými stěnami se zhutněním vápennou stabilizací</t>
  </si>
  <si>
    <t>17_</t>
  </si>
  <si>
    <t>Základy</t>
  </si>
  <si>
    <t>38</t>
  </si>
  <si>
    <t>274313621R00</t>
  </si>
  <si>
    <t>Beton základových pasů prostý C 20/25</t>
  </si>
  <si>
    <t>27_</t>
  </si>
  <si>
    <t>02_2_</t>
  </si>
  <si>
    <t>39</t>
  </si>
  <si>
    <t>274351215RT1</t>
  </si>
  <si>
    <t>Bednění stěn základových pasů - zřízení</t>
  </si>
  <si>
    <t>bednicí materiál prkna</t>
  </si>
  <si>
    <t>40</t>
  </si>
  <si>
    <t>274351216R00</t>
  </si>
  <si>
    <t>Bednění stěn základových pasů - odstranění</t>
  </si>
  <si>
    <t>41</t>
  </si>
  <si>
    <t>271571112R00</t>
  </si>
  <si>
    <t>Polštář základu ze štěrkopísku netříděného</t>
  </si>
  <si>
    <t>42</t>
  </si>
  <si>
    <t>272323411RT3</t>
  </si>
  <si>
    <t>Železobeton základ. kleneb vodostavební C 25/30</t>
  </si>
  <si>
    <t>XF1 odolnost proti střídavému působení mrazu</t>
  </si>
  <si>
    <t>43</t>
  </si>
  <si>
    <t>272351215R00</t>
  </si>
  <si>
    <t>Bednění stěn základových kleneb - zřízení</t>
  </si>
  <si>
    <t>44</t>
  </si>
  <si>
    <t>272351216R00</t>
  </si>
  <si>
    <t>Bednění stěn základových kleneb - odstranění</t>
  </si>
  <si>
    <t>45</t>
  </si>
  <si>
    <t>272361821R00</t>
  </si>
  <si>
    <t>Výztuž monolitického oplocení z oceli 10 505 (R)</t>
  </si>
  <si>
    <t>Zdi podpěrné a volné</t>
  </si>
  <si>
    <t>46</t>
  </si>
  <si>
    <t>311321825R00</t>
  </si>
  <si>
    <t>Železobeton nadzákladových zdí pohledový C 25/30</t>
  </si>
  <si>
    <t>31_</t>
  </si>
  <si>
    <t>02_3_</t>
  </si>
  <si>
    <t>vč.nátěru pracovní spáry 38 m2 přech. můstkem</t>
  </si>
  <si>
    <t>47</t>
  </si>
  <si>
    <t>632479521R00</t>
  </si>
  <si>
    <t>Spojovací můstek - nástřik</t>
  </si>
  <si>
    <t>48</t>
  </si>
  <si>
    <t>311351105R00</t>
  </si>
  <si>
    <t>Bednění nadzákladových zdí oboustranné - zřízení</t>
  </si>
  <si>
    <t>49</t>
  </si>
  <si>
    <t>311351106R00</t>
  </si>
  <si>
    <t>Bednění nadzákladových zdí oboustranné-odstranění</t>
  </si>
  <si>
    <t>Sloupy a pilíře, stožáry a rámové stojky</t>
  </si>
  <si>
    <t>50</t>
  </si>
  <si>
    <t>338121123RT2</t>
  </si>
  <si>
    <t>Osazení sloupků železobetonových,C-/7,5 do 0,15 m3</t>
  </si>
  <si>
    <t>33_</t>
  </si>
  <si>
    <t>Objem betonu 0,05 m3, ručně</t>
  </si>
  <si>
    <t>51</t>
  </si>
  <si>
    <t>59233320</t>
  </si>
  <si>
    <t>Sloupek 210 01 průběžný 100/120/2720 mm</t>
  </si>
  <si>
    <t>52</t>
  </si>
  <si>
    <t>5923</t>
  </si>
  <si>
    <t>Deska plotová do betonového oplocení tl. min 40mm včetně montáže</t>
  </si>
  <si>
    <t>Různé kompletní konstrukce nedělitelné do stav. dílů</t>
  </si>
  <si>
    <t>53</t>
  </si>
  <si>
    <t>275261141R00</t>
  </si>
  <si>
    <t>Osazování bloků betonových objemu do 1,20m3</t>
  </si>
  <si>
    <t>38_</t>
  </si>
  <si>
    <t>54</t>
  </si>
  <si>
    <t>5938</t>
  </si>
  <si>
    <t>Betonový blok 160x80x80 cm, beton C25/30</t>
  </si>
  <si>
    <t>55</t>
  </si>
  <si>
    <t>Betonový blok 160x80x40 cm, beton C25/30</t>
  </si>
  <si>
    <t>711132311R00</t>
  </si>
  <si>
    <t>Prov. izolace nopovou fólií svisle, vč.uchyc.prvků</t>
  </si>
  <si>
    <t>02_71_</t>
  </si>
  <si>
    <t>57</t>
  </si>
  <si>
    <t>767</t>
  </si>
  <si>
    <t>Konstrukce doplňkové stavební (zámečnické)</t>
  </si>
  <si>
    <t>767654240R00</t>
  </si>
  <si>
    <t>Montáž a dodávka vrat posuvných do oc.konstrukce,pl.do 20 m2,výplň Pz plech</t>
  </si>
  <si>
    <t>767_</t>
  </si>
  <si>
    <t>02_76_</t>
  </si>
  <si>
    <t>el. ovládání, včetně zákl. kce kování a zámku,</t>
  </si>
  <si>
    <t>59</t>
  </si>
  <si>
    <t>998767201R00</t>
  </si>
  <si>
    <t>Přesun hmot pro zámečnické konstr., výšky do 6 m</t>
  </si>
  <si>
    <t>%</t>
  </si>
  <si>
    <t>96</t>
  </si>
  <si>
    <t>Bourání konstrukcí</t>
  </si>
  <si>
    <t>60</t>
  </si>
  <si>
    <t>966067111R00</t>
  </si>
  <si>
    <t>Rozebrání plotu tyč. lať. prken. drátěného, plech.</t>
  </si>
  <si>
    <t>96_</t>
  </si>
  <si>
    <t>02_9_</t>
  </si>
  <si>
    <t>61</t>
  </si>
  <si>
    <t>966077111R00</t>
  </si>
  <si>
    <t>Odstranění doplňkových konstrukcí do 20 kg</t>
  </si>
  <si>
    <t>ocelové plotové sloupky</t>
  </si>
  <si>
    <t>H15</t>
  </si>
  <si>
    <t>Objekty pozemní zvláštní</t>
  </si>
  <si>
    <t>62</t>
  </si>
  <si>
    <t>998152111R00</t>
  </si>
  <si>
    <t>Přesun hmot, zdi a valy samostatné z dílců do 20 m</t>
  </si>
  <si>
    <t>H15_</t>
  </si>
  <si>
    <t>Celkem:</t>
  </si>
  <si>
    <t>Poznámka: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</si>
  <si>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</si>
  <si>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</si>
  <si>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</si>
  <si>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</si>
  <si>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</si>
  <si>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</si>
  <si>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</si>
  <si>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</si>
  <si>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Výkaz výměr</t>
  </si>
  <si>
    <t>Potřebné množství</t>
  </si>
  <si>
    <t>3,1*84*4,06/2   </t>
  </si>
  <si>
    <t>4467,5*0,965   svah</t>
  </si>
  <si>
    <t>17   oplocení 32m bet. desky</t>
  </si>
  <si>
    <t>(116+52)*0,8*1   bet. bloky</t>
  </si>
  <si>
    <t>250*0,6*0,4   drenáž</t>
  </si>
  <si>
    <t>19   </t>
  </si>
  <si>
    <t>4839,75+60+1000   </t>
  </si>
  <si>
    <t>440,1-153,8   </t>
  </si>
  <si>
    <t>2,3*0,7*95,5   </t>
  </si>
  <si>
    <t>10840   </t>
  </si>
  <si>
    <t>250*0,6*0,4   drenáže</t>
  </si>
  <si>
    <t>(116+52)*0,8*1   základ pod bet. bloky</t>
  </si>
  <si>
    <t>(52+116)*2*0,2   bet. bloky</t>
  </si>
  <si>
    <t>2,9*95,5*0,4   </t>
  </si>
  <si>
    <t>0,4*2*95,5   </t>
  </si>
  <si>
    <t>25,324   monolitické oplocení</t>
  </si>
  <si>
    <t>95,5*0,4*2,4   </t>
  </si>
  <si>
    <t>95,5*0,4   </t>
  </si>
  <si>
    <t>95,5*2,4*2+2,4*0,4*2   </t>
  </si>
  <si>
    <t>17   </t>
  </si>
  <si>
    <t>;ztratné 1%; 0,17   </t>
  </si>
  <si>
    <t>32*2   </t>
  </si>
  <si>
    <t>;ztratné 1%; 0,64   </t>
  </si>
  <si>
    <t>99+146   LEGO</t>
  </si>
  <si>
    <t>66+146   2řady</t>
  </si>
  <si>
    <t>;ztratné 1%; 2,12   </t>
  </si>
  <si>
    <t>33   </t>
  </si>
  <si>
    <t>;ztratné 1%; 0,33   </t>
  </si>
  <si>
    <t>1116   panely</t>
  </si>
  <si>
    <t>553,5+561,5   betonové plochy B+C</t>
  </si>
  <si>
    <t>1116+553,5+561,5+2236,5   plocha A+C+B+E</t>
  </si>
  <si>
    <t>3348   3x 1116 panely plocha A</t>
  </si>
  <si>
    <t>1660,5   3x 553,5 bet. plocha C</t>
  </si>
  <si>
    <t>1684,5   3x 561,5 bet. plocha B</t>
  </si>
  <si>
    <t>6709,5   3x 2236,5 plocha E</t>
  </si>
  <si>
    <t>553,5*2*1,15   </t>
  </si>
  <si>
    <t>2236,5   </t>
  </si>
  <si>
    <t>1116   </t>
  </si>
  <si>
    <t>561,5   </t>
  </si>
  <si>
    <t>553,5   </t>
  </si>
  <si>
    <t>(561,5+553,5)*2,1*0,00444   </t>
  </si>
  <si>
    <t>;ztratné 1%; 11,16   </t>
  </si>
  <si>
    <t>553,5   plocha C</t>
  </si>
  <si>
    <t>95,5*1   </t>
  </si>
  <si>
    <t>18,6   </t>
  </si>
  <si>
    <t>;ztratné 2%; 0,372   </t>
  </si>
  <si>
    <t>84   </t>
  </si>
  <si>
    <t>1   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</si>
  <si>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</si>
  <si>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</si>
  <si>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</si>
  <si>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</si>
  <si>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</si>
  <si>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</si>
  <si>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</si>
  <si>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</si>
  <si>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</si>
  <si>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</si>
  <si>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</si>
  <si>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</si>
  <si>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</si>
  <si>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</si>
  <si>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</si>
  <si>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</si>
  <si>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</si>
  <si>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</si>
  <si>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</si>
  <si>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</si>
  <si>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</si>
  <si>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</si>
  <si>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</si>
  <si>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</si>
  <si>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</si>
  <si>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</si>
  <si>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</si>
  <si>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</si>
  <si>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</si>
  <si>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</si>
  <si>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</si>
  <si>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</si>
  <si>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</si>
  <si>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</si>
  <si>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</si>
  <si>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</si>
  <si>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</si>
  <si>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</si>
  <si>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</si>
  <si>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</si>
  <si>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</si>
  <si>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</si>
  <si>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</si>
  <si>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</si>
  <si>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Vedlejší a ostatní rozpočtové náklady</t>
  </si>
  <si>
    <t>Vedlejší rozpočtové náklady VRN</t>
  </si>
  <si>
    <t>Doplňkové náklady DN</t>
  </si>
  <si>
    <t>Kč</t>
  </si>
  <si>
    <t>Základna</t>
  </si>
  <si>
    <t>Celkem NUS</t>
  </si>
  <si>
    <t>Celkem VRN</t>
  </si>
  <si>
    <t>Ostatní rozpočtové náklady ORN</t>
  </si>
  <si>
    <t>Ostatní rozpočtové náklady (ORN)</t>
  </si>
  <si>
    <t>Celkem ORN</t>
  </si>
  <si>
    <t>Ostatní (geodetické práce, skutečné provedení stavby)</t>
  </si>
  <si>
    <t>Zásyp zářezů se šikmými stěnami se zhutněním zeminou vhodnou k hutněnému zásypu</t>
  </si>
  <si>
    <t>14.8.2020</t>
  </si>
  <si>
    <t xml:space="preserve">Zařízení na úpravu odpadů f.BERGASTO s.r.o. </t>
  </si>
  <si>
    <t>3*95,5*1   základ monolitické oplocení</t>
  </si>
  <si>
    <t>3,1*95,5*0,6   pod monolitické oplocení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</si>
</sst>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0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2" fillId="33" borderId="23" xfId="0" applyNumberFormat="1" applyFont="1" applyFill="1" applyBorder="1" applyAlignment="1" applyProtection="1">
      <alignment horizontal="left" vertical="center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/>
    </xf>
    <xf numFmtId="4" fontId="3" fillId="33" borderId="23" xfId="0" applyNumberFormat="1" applyFont="1" applyFill="1" applyBorder="1" applyAlignment="1" applyProtection="1">
      <alignment horizontal="right" vertical="center"/>
      <protection/>
    </xf>
    <xf numFmtId="49" fontId="3" fillId="33" borderId="23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49" fontId="2" fillId="0" borderId="24" xfId="0" applyNumberFormat="1" applyFont="1" applyFill="1" applyBorder="1" applyAlignment="1" applyProtection="1">
      <alignment horizontal="left" vertical="center"/>
      <protection/>
    </xf>
    <xf numFmtId="4" fontId="2" fillId="0" borderId="24" xfId="0" applyNumberFormat="1" applyFont="1" applyFill="1" applyBorder="1" applyAlignment="1" applyProtection="1">
      <alignment horizontal="right" vertical="center"/>
      <protection/>
    </xf>
    <xf numFmtId="49" fontId="2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4" fontId="2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49" fontId="8" fillId="33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4" fontId="11" fillId="0" borderId="29" xfId="0" applyNumberFormat="1" applyFont="1" applyFill="1" applyBorder="1" applyAlignment="1" applyProtection="1">
      <alignment horizontal="righ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0" fontId="2" fillId="0" borderId="32" xfId="0" applyNumberFormat="1" applyFont="1" applyFill="1" applyBorder="1" applyAlignment="1" applyProtection="1">
      <alignment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vertical="center"/>
      <protection/>
    </xf>
    <xf numFmtId="4" fontId="10" fillId="33" borderId="35" xfId="0" applyNumberFormat="1" applyFont="1" applyFill="1" applyBorder="1" applyAlignment="1" applyProtection="1">
      <alignment horizontal="right" vertical="center"/>
      <protection/>
    </xf>
    <xf numFmtId="0" fontId="2" fillId="0" borderId="36" xfId="0" applyNumberFormat="1" applyFont="1" applyFill="1" applyBorder="1" applyAlignment="1" applyProtection="1">
      <alignment vertical="center"/>
      <protection/>
    </xf>
    <xf numFmtId="0" fontId="2" fillId="0" borderId="37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38" xfId="0" applyNumberFormat="1" applyFont="1" applyFill="1" applyBorder="1" applyAlignment="1" applyProtection="1">
      <alignment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9" fontId="2" fillId="0" borderId="29" xfId="0" applyNumberFormat="1" applyFont="1" applyFill="1" applyBorder="1" applyAlignment="1" applyProtection="1">
      <alignment horizontal="left" vertical="center"/>
      <protection/>
    </xf>
    <xf numFmtId="4" fontId="2" fillId="0" borderId="29" xfId="0" applyNumberFormat="1" applyFont="1" applyFill="1" applyBorder="1" applyAlignment="1" applyProtection="1">
      <alignment horizontal="righ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3" fillId="0" borderId="40" xfId="0" applyNumberFormat="1" applyFont="1" applyFill="1" applyBorder="1" applyAlignment="1" applyProtection="1">
      <alignment horizontal="right" vertical="center"/>
      <protection/>
    </xf>
    <xf numFmtId="0" fontId="2" fillId="0" borderId="41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34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49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49" fontId="10" fillId="33" borderId="45" xfId="0" applyNumberFormat="1" applyFont="1" applyFill="1" applyBorder="1" applyAlignment="1" applyProtection="1">
      <alignment horizontal="left" vertical="center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2" fillId="0" borderId="47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0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49" fontId="2" fillId="0" borderId="29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10" fillId="0" borderId="40" xfId="0" applyNumberFormat="1" applyFont="1" applyFill="1" applyBorder="1" applyAlignment="1" applyProtection="1">
      <alignment horizontal="left" vertical="center"/>
      <protection/>
    </xf>
    <xf numFmtId="4" fontId="10" fillId="0" borderId="4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J27" sqref="J2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45"/>
      <c r="B1" s="46"/>
      <c r="C1" s="72" t="s">
        <v>379</v>
      </c>
      <c r="D1" s="72"/>
      <c r="E1" s="72"/>
      <c r="F1" s="72"/>
      <c r="G1" s="72"/>
      <c r="H1" s="72"/>
      <c r="I1" s="72"/>
    </row>
    <row r="2" spans="1:10" ht="12.75" customHeight="1">
      <c r="A2" s="73" t="s">
        <v>1</v>
      </c>
      <c r="B2" s="73"/>
      <c r="C2" s="74" t="str">
        <f>'Stavební rozpočet'!D2</f>
        <v>Zařízení na úpravu odpadů f.BERGASTO s.r.o. </v>
      </c>
      <c r="D2" s="74"/>
      <c r="E2" s="75" t="s">
        <v>4</v>
      </c>
      <c r="F2" s="75" t="str">
        <f>'Stavební rozpočet'!I2</f>
        <v> </v>
      </c>
      <c r="G2" s="75"/>
      <c r="H2" s="75" t="s">
        <v>380</v>
      </c>
      <c r="I2" s="76"/>
      <c r="J2" s="1"/>
    </row>
    <row r="3" spans="1:10" ht="12.75">
      <c r="A3" s="73"/>
      <c r="B3" s="73"/>
      <c r="C3" s="74"/>
      <c r="D3" s="74"/>
      <c r="E3" s="75"/>
      <c r="F3" s="75"/>
      <c r="G3" s="75"/>
      <c r="H3" s="75"/>
      <c r="I3" s="76"/>
      <c r="J3" s="1"/>
    </row>
    <row r="4" spans="1:10" ht="12.75" customHeight="1">
      <c r="A4" s="77" t="s">
        <v>6</v>
      </c>
      <c r="B4" s="77"/>
      <c r="C4" s="78" t="str">
        <f>'Stavební rozpočet'!D4</f>
        <v> </v>
      </c>
      <c r="D4" s="78"/>
      <c r="E4" s="78" t="s">
        <v>8</v>
      </c>
      <c r="F4" s="78" t="str">
        <f>'Stavební rozpočet'!I4</f>
        <v> </v>
      </c>
      <c r="G4" s="78"/>
      <c r="H4" s="78" t="s">
        <v>380</v>
      </c>
      <c r="I4" s="79"/>
      <c r="J4" s="1"/>
    </row>
    <row r="5" spans="1:10" ht="12.75">
      <c r="A5" s="77"/>
      <c r="B5" s="77"/>
      <c r="C5" s="78"/>
      <c r="D5" s="78"/>
      <c r="E5" s="78"/>
      <c r="F5" s="78"/>
      <c r="G5" s="78"/>
      <c r="H5" s="78"/>
      <c r="I5" s="79"/>
      <c r="J5" s="1"/>
    </row>
    <row r="6" spans="1:10" ht="12.75" customHeight="1">
      <c r="A6" s="77" t="s">
        <v>9</v>
      </c>
      <c r="B6" s="77"/>
      <c r="C6" s="78" t="str">
        <f>'Stavební rozpočet'!D6</f>
        <v>Suchonice</v>
      </c>
      <c r="D6" s="78"/>
      <c r="E6" s="78" t="s">
        <v>12</v>
      </c>
      <c r="F6" s="78" t="str">
        <f>'Stavební rozpočet'!I6</f>
        <v> </v>
      </c>
      <c r="G6" s="78"/>
      <c r="H6" s="78" t="s">
        <v>380</v>
      </c>
      <c r="I6" s="79"/>
      <c r="J6" s="1"/>
    </row>
    <row r="7" spans="1:10" ht="12.75">
      <c r="A7" s="77"/>
      <c r="B7" s="77"/>
      <c r="C7" s="78"/>
      <c r="D7" s="78"/>
      <c r="E7" s="78"/>
      <c r="F7" s="78"/>
      <c r="G7" s="78"/>
      <c r="H7" s="78"/>
      <c r="I7" s="79"/>
      <c r="J7" s="1"/>
    </row>
    <row r="8" spans="1:10" ht="12.75" customHeight="1">
      <c r="A8" s="77" t="s">
        <v>7</v>
      </c>
      <c r="B8" s="77"/>
      <c r="C8" s="78">
        <f>'Stavební rozpočet'!G4</f>
        <v>0</v>
      </c>
      <c r="D8" s="78"/>
      <c r="E8" s="78" t="s">
        <v>11</v>
      </c>
      <c r="F8" s="78" t="str">
        <f>'Stavební rozpočet'!G6</f>
        <v> </v>
      </c>
      <c r="G8" s="78"/>
      <c r="H8" s="80" t="s">
        <v>381</v>
      </c>
      <c r="I8" s="79" t="s">
        <v>315</v>
      </c>
      <c r="J8" s="1"/>
    </row>
    <row r="9" spans="1:10" ht="12.75">
      <c r="A9" s="77"/>
      <c r="B9" s="77"/>
      <c r="C9" s="78"/>
      <c r="D9" s="78"/>
      <c r="E9" s="78"/>
      <c r="F9" s="78"/>
      <c r="G9" s="78"/>
      <c r="H9" s="80"/>
      <c r="I9" s="79"/>
      <c r="J9" s="1"/>
    </row>
    <row r="10" spans="1:10" ht="12.75" customHeight="1">
      <c r="A10" s="81" t="s">
        <v>13</v>
      </c>
      <c r="B10" s="81"/>
      <c r="C10" s="82" t="str">
        <f>'Stavební rozpočet'!D8</f>
        <v> </v>
      </c>
      <c r="D10" s="82"/>
      <c r="E10" s="82" t="s">
        <v>15</v>
      </c>
      <c r="F10" s="82" t="str">
        <f>'Stavební rozpočet'!I8</f>
        <v> </v>
      </c>
      <c r="G10" s="82"/>
      <c r="H10" s="83" t="s">
        <v>382</v>
      </c>
      <c r="I10" s="84" t="str">
        <f>'Stavební rozpočet'!G8</f>
        <v>14.8.2020</v>
      </c>
      <c r="J10" s="1"/>
    </row>
    <row r="11" spans="1:10" ht="12.75">
      <c r="A11" s="81"/>
      <c r="B11" s="81"/>
      <c r="C11" s="82"/>
      <c r="D11" s="82"/>
      <c r="E11" s="82"/>
      <c r="F11" s="82"/>
      <c r="G11" s="82"/>
      <c r="H11" s="83"/>
      <c r="I11" s="84"/>
      <c r="J11" s="1"/>
    </row>
    <row r="12" spans="1:9" ht="23.25" customHeight="1">
      <c r="A12" s="85" t="s">
        <v>383</v>
      </c>
      <c r="B12" s="85"/>
      <c r="C12" s="85"/>
      <c r="D12" s="85"/>
      <c r="E12" s="85"/>
      <c r="F12" s="85"/>
      <c r="G12" s="85"/>
      <c r="H12" s="85"/>
      <c r="I12" s="85"/>
    </row>
    <row r="13" spans="1:10" ht="26.25" customHeight="1">
      <c r="A13" s="47" t="s">
        <v>384</v>
      </c>
      <c r="B13" s="86" t="s">
        <v>385</v>
      </c>
      <c r="C13" s="86"/>
      <c r="D13" s="47" t="s">
        <v>386</v>
      </c>
      <c r="E13" s="86" t="s">
        <v>387</v>
      </c>
      <c r="F13" s="86"/>
      <c r="G13" s="47" t="s">
        <v>388</v>
      </c>
      <c r="H13" s="86" t="s">
        <v>389</v>
      </c>
      <c r="I13" s="86"/>
      <c r="J13" s="1"/>
    </row>
    <row r="14" spans="1:10" ht="15" customHeight="1">
      <c r="A14" s="48" t="s">
        <v>390</v>
      </c>
      <c r="B14" s="49" t="s">
        <v>391</v>
      </c>
      <c r="C14" s="50">
        <f>SUM('Stavební rozpočet'!AB12:AB118)</f>
        <v>0</v>
      </c>
      <c r="D14" s="87" t="s">
        <v>392</v>
      </c>
      <c r="E14" s="87"/>
      <c r="F14" s="50">
        <f>VORN!I15</f>
        <v>0</v>
      </c>
      <c r="G14" s="87" t="s">
        <v>393</v>
      </c>
      <c r="H14" s="87"/>
      <c r="I14" s="50">
        <f>VORN!I21</f>
        <v>0</v>
      </c>
      <c r="J14" s="1"/>
    </row>
    <row r="15" spans="1:10" ht="15" customHeight="1">
      <c r="A15" s="51"/>
      <c r="B15" s="49" t="s">
        <v>29</v>
      </c>
      <c r="C15" s="50">
        <f>SUM('Stavební rozpočet'!AC12:AC118)</f>
        <v>0</v>
      </c>
      <c r="D15" s="87" t="s">
        <v>394</v>
      </c>
      <c r="E15" s="87"/>
      <c r="F15" s="50">
        <f>VORN!I16</f>
        <v>0</v>
      </c>
      <c r="G15" s="87" t="s">
        <v>395</v>
      </c>
      <c r="H15" s="87"/>
      <c r="I15" s="50">
        <f>VORN!I22</f>
        <v>0</v>
      </c>
      <c r="J15" s="1"/>
    </row>
    <row r="16" spans="1:10" ht="15" customHeight="1">
      <c r="A16" s="48" t="s">
        <v>396</v>
      </c>
      <c r="B16" s="49" t="s">
        <v>391</v>
      </c>
      <c r="C16" s="50">
        <f>SUM('Stavební rozpočet'!AD12:AD118)</f>
        <v>0</v>
      </c>
      <c r="D16" s="87" t="s">
        <v>397</v>
      </c>
      <c r="E16" s="87"/>
      <c r="F16" s="50">
        <f>VORN!I17</f>
        <v>0</v>
      </c>
      <c r="G16" s="87" t="s">
        <v>398</v>
      </c>
      <c r="H16" s="87"/>
      <c r="I16" s="50">
        <f>VORN!I23</f>
        <v>0</v>
      </c>
      <c r="J16" s="1"/>
    </row>
    <row r="17" spans="1:10" ht="15" customHeight="1">
      <c r="A17" s="51"/>
      <c r="B17" s="49" t="s">
        <v>29</v>
      </c>
      <c r="C17" s="50">
        <f>SUM('Stavební rozpočet'!AE12:AE118)</f>
        <v>0</v>
      </c>
      <c r="D17" s="87"/>
      <c r="E17" s="87"/>
      <c r="F17" s="52"/>
      <c r="G17" s="87" t="s">
        <v>399</v>
      </c>
      <c r="H17" s="87"/>
      <c r="I17" s="50">
        <f>VORN!I24</f>
        <v>0</v>
      </c>
      <c r="J17" s="1"/>
    </row>
    <row r="18" spans="1:10" ht="15" customHeight="1">
      <c r="A18" s="48" t="s">
        <v>400</v>
      </c>
      <c r="B18" s="49" t="s">
        <v>391</v>
      </c>
      <c r="C18" s="50">
        <f>SUM('Stavební rozpočet'!AF12:AF118)</f>
        <v>0</v>
      </c>
      <c r="D18" s="87"/>
      <c r="E18" s="87"/>
      <c r="F18" s="52"/>
      <c r="G18" s="87" t="s">
        <v>401</v>
      </c>
      <c r="H18" s="87"/>
      <c r="I18" s="50">
        <f>VORN!I25</f>
        <v>0</v>
      </c>
      <c r="J18" s="1"/>
    </row>
    <row r="19" spans="1:10" ht="15" customHeight="1">
      <c r="A19" s="51"/>
      <c r="B19" s="49" t="s">
        <v>29</v>
      </c>
      <c r="C19" s="50">
        <f>SUM('Stavební rozpočet'!AG12:AG118)</f>
        <v>0</v>
      </c>
      <c r="D19" s="87"/>
      <c r="E19" s="87"/>
      <c r="F19" s="52"/>
      <c r="G19" s="87" t="s">
        <v>402</v>
      </c>
      <c r="H19" s="87"/>
      <c r="I19" s="50">
        <f>VORN!I26</f>
        <v>0</v>
      </c>
      <c r="J19" s="1"/>
    </row>
    <row r="20" spans="1:10" ht="15" customHeight="1">
      <c r="A20" s="88" t="s">
        <v>403</v>
      </c>
      <c r="B20" s="88"/>
      <c r="C20" s="50">
        <f>SUM('Stavební rozpočet'!AH12:AH118)</f>
        <v>0</v>
      </c>
      <c r="D20" s="87"/>
      <c r="E20" s="87"/>
      <c r="F20" s="52"/>
      <c r="G20" s="87"/>
      <c r="H20" s="87"/>
      <c r="I20" s="52"/>
      <c r="J20" s="1"/>
    </row>
    <row r="21" spans="1:10" ht="15" customHeight="1">
      <c r="A21" s="88" t="s">
        <v>404</v>
      </c>
      <c r="B21" s="88"/>
      <c r="C21" s="50">
        <f>SUM('Stavební rozpočet'!Z12:Z118)</f>
        <v>0</v>
      </c>
      <c r="D21" s="87"/>
      <c r="E21" s="87"/>
      <c r="F21" s="52"/>
      <c r="G21" s="87"/>
      <c r="H21" s="87"/>
      <c r="I21" s="52"/>
      <c r="J21" s="1"/>
    </row>
    <row r="22" spans="1:10" ht="16.5" customHeight="1">
      <c r="A22" s="88" t="s">
        <v>405</v>
      </c>
      <c r="B22" s="88"/>
      <c r="C22" s="50">
        <f>SUM(C14:C21)</f>
        <v>0</v>
      </c>
      <c r="D22" s="88" t="s">
        <v>406</v>
      </c>
      <c r="E22" s="88"/>
      <c r="F22" s="50">
        <f>SUM(F14:F21)</f>
        <v>0</v>
      </c>
      <c r="G22" s="88" t="s">
        <v>407</v>
      </c>
      <c r="H22" s="88"/>
      <c r="I22" s="50">
        <f>SUM(I14:I21)</f>
        <v>0</v>
      </c>
      <c r="J22" s="1"/>
    </row>
    <row r="23" spans="1:10" ht="15" customHeight="1">
      <c r="A23" s="31"/>
      <c r="B23" s="31"/>
      <c r="C23" s="53"/>
      <c r="D23" s="88" t="s">
        <v>408</v>
      </c>
      <c r="E23" s="88"/>
      <c r="F23" s="54">
        <v>0</v>
      </c>
      <c r="G23" s="88" t="s">
        <v>409</v>
      </c>
      <c r="H23" s="88"/>
      <c r="I23" s="50">
        <v>0</v>
      </c>
      <c r="J23" s="1"/>
    </row>
    <row r="24" spans="4:10" ht="15" customHeight="1">
      <c r="D24" s="31"/>
      <c r="E24" s="31"/>
      <c r="F24" s="55"/>
      <c r="G24" s="88" t="s">
        <v>410</v>
      </c>
      <c r="H24" s="88"/>
      <c r="I24" s="50">
        <f>vorn_sum</f>
        <v>0</v>
      </c>
      <c r="J24" s="1"/>
    </row>
    <row r="25" spans="6:10" ht="15" customHeight="1">
      <c r="F25" s="56"/>
      <c r="G25" s="88" t="s">
        <v>411</v>
      </c>
      <c r="H25" s="88"/>
      <c r="I25" s="50">
        <v>0</v>
      </c>
      <c r="J25" s="1"/>
    </row>
    <row r="26" spans="1:9" ht="12.75">
      <c r="A26" s="46"/>
      <c r="B26" s="46"/>
      <c r="C26" s="46"/>
      <c r="G26" s="31"/>
      <c r="H26" s="31"/>
      <c r="I26" s="31"/>
    </row>
    <row r="27" spans="1:9" ht="15" customHeight="1">
      <c r="A27" s="89" t="s">
        <v>412</v>
      </c>
      <c r="B27" s="89"/>
      <c r="C27" s="57">
        <f>SUM('Stavební rozpočet'!AJ12:AJ118)</f>
        <v>0</v>
      </c>
      <c r="D27" s="58"/>
      <c r="E27" s="46"/>
      <c r="F27" s="46"/>
      <c r="G27" s="46"/>
      <c r="H27" s="46"/>
      <c r="I27" s="46"/>
    </row>
    <row r="28" spans="1:10" ht="15" customHeight="1">
      <c r="A28" s="89" t="s">
        <v>413</v>
      </c>
      <c r="B28" s="89"/>
      <c r="C28" s="57">
        <f>SUM('Stavební rozpočet'!AK12:AK118)</f>
        <v>0</v>
      </c>
      <c r="D28" s="89" t="s">
        <v>414</v>
      </c>
      <c r="E28" s="89"/>
      <c r="F28" s="57">
        <f>ROUND(C28*(15/100),2)</f>
        <v>0</v>
      </c>
      <c r="G28" s="89" t="s">
        <v>415</v>
      </c>
      <c r="H28" s="89"/>
      <c r="I28" s="57">
        <f>SUM(C27:C29)</f>
        <v>0</v>
      </c>
      <c r="J28" s="1"/>
    </row>
    <row r="29" spans="1:10" ht="15" customHeight="1">
      <c r="A29" s="89" t="s">
        <v>416</v>
      </c>
      <c r="B29" s="89"/>
      <c r="C29" s="57">
        <f>SUM('Stavební rozpočet'!AL12:AL118)+(F22+I22+F23+I23+I24+I25)</f>
        <v>0</v>
      </c>
      <c r="D29" s="89" t="s">
        <v>417</v>
      </c>
      <c r="E29" s="89"/>
      <c r="F29" s="57">
        <f>ROUND(C29*(21/100),2)</f>
        <v>0</v>
      </c>
      <c r="G29" s="89" t="s">
        <v>418</v>
      </c>
      <c r="H29" s="89"/>
      <c r="I29" s="57">
        <f>SUM(F28:F29)+I28</f>
        <v>0</v>
      </c>
      <c r="J29" s="1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10" ht="14.25" customHeight="1">
      <c r="A31" s="90" t="s">
        <v>419</v>
      </c>
      <c r="B31" s="90"/>
      <c r="C31" s="90"/>
      <c r="D31" s="90" t="s">
        <v>420</v>
      </c>
      <c r="E31" s="90"/>
      <c r="F31" s="90"/>
      <c r="G31" s="90" t="s">
        <v>421</v>
      </c>
      <c r="H31" s="90"/>
      <c r="I31" s="90"/>
      <c r="J31" s="8"/>
    </row>
    <row r="32" spans="1:10" ht="14.25" customHeight="1">
      <c r="A32" s="91"/>
      <c r="B32" s="91"/>
      <c r="C32" s="91"/>
      <c r="D32" s="91"/>
      <c r="E32" s="91"/>
      <c r="F32" s="91"/>
      <c r="G32" s="91"/>
      <c r="H32" s="91"/>
      <c r="I32" s="91"/>
      <c r="J32" s="8"/>
    </row>
    <row r="33" spans="1:10" ht="14.25" customHeight="1">
      <c r="A33" s="91"/>
      <c r="B33" s="91"/>
      <c r="C33" s="91"/>
      <c r="D33" s="91"/>
      <c r="E33" s="91"/>
      <c r="F33" s="91"/>
      <c r="G33" s="91"/>
      <c r="H33" s="91"/>
      <c r="I33" s="91"/>
      <c r="J33" s="8"/>
    </row>
    <row r="34" spans="1:10" ht="14.25" customHeight="1">
      <c r="A34" s="91"/>
      <c r="B34" s="91"/>
      <c r="C34" s="91"/>
      <c r="D34" s="91"/>
      <c r="E34" s="91"/>
      <c r="F34" s="91"/>
      <c r="G34" s="91"/>
      <c r="H34" s="91"/>
      <c r="I34" s="91"/>
      <c r="J34" s="8"/>
    </row>
    <row r="35" spans="1:10" ht="14.25" customHeight="1">
      <c r="A35" s="92" t="s">
        <v>422</v>
      </c>
      <c r="B35" s="92"/>
      <c r="C35" s="92"/>
      <c r="D35" s="92" t="s">
        <v>422</v>
      </c>
      <c r="E35" s="92"/>
      <c r="F35" s="92"/>
      <c r="G35" s="92" t="s">
        <v>422</v>
      </c>
      <c r="H35" s="92"/>
      <c r="I35" s="92"/>
      <c r="J35" s="8"/>
    </row>
    <row r="36" spans="1:9" ht="11.25" customHeight="1">
      <c r="A36" s="60" t="s">
        <v>320</v>
      </c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78"/>
      <c r="B37" s="78"/>
      <c r="C37" s="78"/>
      <c r="D37" s="78"/>
      <c r="E37" s="78"/>
      <c r="F37" s="78"/>
      <c r="G37" s="78"/>
      <c r="H37" s="78"/>
      <c r="I37" s="78"/>
    </row>
  </sheetData>
  <sheetProtection selectLockedCells="1" selectUnlockedCell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ySplit="10" topLeftCell="A3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1.57421875" style="0" hidden="1" customWidth="1"/>
  </cols>
  <sheetData>
    <row r="1" spans="1:7" ht="72.75" customHeight="1">
      <c r="A1" s="93" t="s">
        <v>321</v>
      </c>
      <c r="B1" s="93"/>
      <c r="C1" s="93"/>
      <c r="D1" s="93"/>
      <c r="E1" s="93"/>
      <c r="F1" s="93"/>
      <c r="G1" s="93"/>
    </row>
    <row r="2" spans="1:8" ht="12.75" customHeight="1">
      <c r="A2" s="73" t="s">
        <v>1</v>
      </c>
      <c r="B2" s="74" t="str">
        <f>'Stavební rozpočet'!D2</f>
        <v>Zařízení na úpravu odpadů f.BERGASTO s.r.o. </v>
      </c>
      <c r="C2" s="74"/>
      <c r="D2" s="75" t="s">
        <v>4</v>
      </c>
      <c r="E2" s="94" t="str">
        <f>'Stavební rozpočet'!I2</f>
        <v> </v>
      </c>
      <c r="F2" s="94"/>
      <c r="G2" s="94"/>
      <c r="H2" s="1"/>
    </row>
    <row r="3" spans="1:8" ht="12.75">
      <c r="A3" s="73"/>
      <c r="B3" s="74"/>
      <c r="C3" s="74"/>
      <c r="D3" s="75"/>
      <c r="E3" s="75"/>
      <c r="F3" s="94"/>
      <c r="G3" s="94"/>
      <c r="H3" s="1"/>
    </row>
    <row r="4" spans="1:8" ht="12.75" customHeight="1">
      <c r="A4" s="77" t="s">
        <v>6</v>
      </c>
      <c r="B4" s="78" t="str">
        <f>'Stavební rozpočet'!D4</f>
        <v> </v>
      </c>
      <c r="C4" s="78"/>
      <c r="D4" s="78" t="s">
        <v>8</v>
      </c>
      <c r="E4" s="95" t="str">
        <f>'Stavební rozpočet'!I4</f>
        <v> </v>
      </c>
      <c r="F4" s="95"/>
      <c r="G4" s="95"/>
      <c r="H4" s="1"/>
    </row>
    <row r="5" spans="1:8" ht="12.75">
      <c r="A5" s="77"/>
      <c r="B5" s="78"/>
      <c r="C5" s="78"/>
      <c r="D5" s="78"/>
      <c r="E5" s="78"/>
      <c r="F5" s="95"/>
      <c r="G5" s="95"/>
      <c r="H5" s="1"/>
    </row>
    <row r="6" spans="1:8" ht="12.75" customHeight="1">
      <c r="A6" s="77" t="s">
        <v>9</v>
      </c>
      <c r="B6" s="78" t="str">
        <f>'Stavební rozpočet'!D6</f>
        <v>Suchonice</v>
      </c>
      <c r="C6" s="78"/>
      <c r="D6" s="78" t="s">
        <v>12</v>
      </c>
      <c r="E6" s="95" t="str">
        <f>'Stavební rozpočet'!I6</f>
        <v> </v>
      </c>
      <c r="F6" s="95"/>
      <c r="G6" s="95"/>
      <c r="H6" s="1"/>
    </row>
    <row r="7" spans="1:8" ht="12.75">
      <c r="A7" s="77"/>
      <c r="B7" s="78"/>
      <c r="C7" s="78"/>
      <c r="D7" s="78"/>
      <c r="E7" s="78"/>
      <c r="F7" s="95"/>
      <c r="G7" s="95"/>
      <c r="H7" s="1"/>
    </row>
    <row r="8" spans="1:8" ht="12.75" customHeight="1">
      <c r="A8" s="96" t="s">
        <v>15</v>
      </c>
      <c r="B8" s="97" t="str">
        <f>'Stavební rozpočet'!I8</f>
        <v> </v>
      </c>
      <c r="C8" s="97"/>
      <c r="D8" s="98" t="s">
        <v>14</v>
      </c>
      <c r="E8" s="99" t="str">
        <f>'Stavební rozpočet'!G8</f>
        <v>14.8.2020</v>
      </c>
      <c r="F8" s="99"/>
      <c r="G8" s="99"/>
      <c r="H8" s="1"/>
    </row>
    <row r="9" spans="1:8" ht="12.75">
      <c r="A9" s="96"/>
      <c r="B9" s="97"/>
      <c r="C9" s="97"/>
      <c r="D9" s="98"/>
      <c r="E9" s="98"/>
      <c r="F9" s="99"/>
      <c r="G9" s="99"/>
      <c r="H9" s="1"/>
    </row>
    <row r="10" spans="1:8" ht="12.75">
      <c r="A10" s="34" t="s">
        <v>17</v>
      </c>
      <c r="B10" s="35" t="s">
        <v>18</v>
      </c>
      <c r="C10" s="36" t="s">
        <v>322</v>
      </c>
      <c r="D10" s="37" t="s">
        <v>323</v>
      </c>
      <c r="E10" s="37" t="s">
        <v>324</v>
      </c>
      <c r="F10" s="37" t="s">
        <v>325</v>
      </c>
      <c r="G10" s="38" t="s">
        <v>326</v>
      </c>
      <c r="H10" s="8"/>
    </row>
    <row r="11" spans="1:9" ht="12.75">
      <c r="A11" s="39" t="s">
        <v>45</v>
      </c>
      <c r="B11" s="39"/>
      <c r="C11" s="39" t="s">
        <v>46</v>
      </c>
      <c r="D11" s="40">
        <f>'Stavební rozpočet'!H12</f>
        <v>0</v>
      </c>
      <c r="E11" s="40">
        <f>'Stavební rozpočet'!I12</f>
        <v>0</v>
      </c>
      <c r="F11" s="40">
        <f>'Stavební rozpočet'!J12</f>
        <v>0</v>
      </c>
      <c r="G11" s="40">
        <f>'Stavební rozpočet'!L12</f>
        <v>11378.633006625001</v>
      </c>
      <c r="H11" s="25" t="s">
        <v>327</v>
      </c>
      <c r="I11" s="25">
        <f aca="true" t="shared" si="0" ref="I11:I37">IF(H11="F",0,F11)</f>
        <v>0</v>
      </c>
    </row>
    <row r="12" spans="1:9" ht="12.75">
      <c r="A12" s="2" t="s">
        <v>45</v>
      </c>
      <c r="B12" s="2" t="s">
        <v>47</v>
      </c>
      <c r="C12" s="2" t="s">
        <v>48</v>
      </c>
      <c r="D12" s="25">
        <f>'Stavební rozpočet'!H13</f>
        <v>0</v>
      </c>
      <c r="E12" s="25">
        <f>'Stavební rozpočet'!I13</f>
        <v>0</v>
      </c>
      <c r="F12" s="25">
        <f>'Stavební rozpočet'!J13</f>
        <v>0</v>
      </c>
      <c r="G12" s="25">
        <f>'Stavební rozpočet'!L13</f>
        <v>0</v>
      </c>
      <c r="H12" s="25" t="s">
        <v>328</v>
      </c>
      <c r="I12" s="25">
        <f t="shared" si="0"/>
        <v>0</v>
      </c>
    </row>
    <row r="13" spans="1:9" ht="12.75">
      <c r="A13" s="2" t="s">
        <v>45</v>
      </c>
      <c r="B13" s="2" t="s">
        <v>57</v>
      </c>
      <c r="C13" s="2" t="s">
        <v>58</v>
      </c>
      <c r="D13" s="25">
        <f>'Stavební rozpočet'!H15</f>
        <v>0</v>
      </c>
      <c r="E13" s="25">
        <f>'Stavební rozpočet'!I15</f>
        <v>0</v>
      </c>
      <c r="F13" s="25">
        <f>'Stavební rozpočet'!J15</f>
        <v>0</v>
      </c>
      <c r="G13" s="25">
        <f>'Stavební rozpočet'!L15</f>
        <v>0</v>
      </c>
      <c r="H13" s="25" t="s">
        <v>328</v>
      </c>
      <c r="I13" s="25">
        <f t="shared" si="0"/>
        <v>0</v>
      </c>
    </row>
    <row r="14" spans="1:9" ht="12.75">
      <c r="A14" s="2" t="s">
        <v>45</v>
      </c>
      <c r="B14" s="2" t="s">
        <v>66</v>
      </c>
      <c r="C14" s="2" t="s">
        <v>67</v>
      </c>
      <c r="D14" s="25">
        <f>'Stavební rozpočet'!H18</f>
        <v>0</v>
      </c>
      <c r="E14" s="25">
        <f>'Stavební rozpočet'!I18</f>
        <v>0</v>
      </c>
      <c r="F14" s="25">
        <f>'Stavební rozpočet'!J18</f>
        <v>0</v>
      </c>
      <c r="G14" s="25">
        <f>'Stavební rozpočet'!L18</f>
        <v>0.09917999999999999</v>
      </c>
      <c r="H14" s="25" t="s">
        <v>328</v>
      </c>
      <c r="I14" s="25">
        <f t="shared" si="0"/>
        <v>0</v>
      </c>
    </row>
    <row r="15" spans="1:9" ht="12.75">
      <c r="A15" s="2" t="s">
        <v>45</v>
      </c>
      <c r="B15" s="2" t="s">
        <v>78</v>
      </c>
      <c r="C15" s="2" t="s">
        <v>79</v>
      </c>
      <c r="D15" s="25">
        <f>'Stavební rozpočet'!H22</f>
        <v>0</v>
      </c>
      <c r="E15" s="25">
        <f>'Stavební rozpočet'!I22</f>
        <v>0</v>
      </c>
      <c r="F15" s="25">
        <f>'Stavební rozpočet'!J22</f>
        <v>0</v>
      </c>
      <c r="G15" s="25">
        <f>'Stavební rozpočet'!L22</f>
        <v>0</v>
      </c>
      <c r="H15" s="25" t="s">
        <v>328</v>
      </c>
      <c r="I15" s="25">
        <f t="shared" si="0"/>
        <v>0</v>
      </c>
    </row>
    <row r="16" spans="1:9" ht="12.75">
      <c r="A16" s="2" t="s">
        <v>45</v>
      </c>
      <c r="B16" s="2" t="s">
        <v>84</v>
      </c>
      <c r="C16" s="2" t="s">
        <v>85</v>
      </c>
      <c r="D16" s="25">
        <f>'Stavební rozpočet'!H24</f>
        <v>0</v>
      </c>
      <c r="E16" s="25">
        <f>'Stavební rozpočet'!I24</f>
        <v>0</v>
      </c>
      <c r="F16" s="25">
        <f>'Stavební rozpočet'!J24</f>
        <v>0</v>
      </c>
      <c r="G16" s="25">
        <f>'Stavební rozpočet'!L24</f>
        <v>0</v>
      </c>
      <c r="H16" s="25" t="s">
        <v>328</v>
      </c>
      <c r="I16" s="25">
        <f t="shared" si="0"/>
        <v>0</v>
      </c>
    </row>
    <row r="17" spans="1:9" ht="12.75">
      <c r="A17" s="2" t="s">
        <v>45</v>
      </c>
      <c r="B17" s="2" t="s">
        <v>91</v>
      </c>
      <c r="C17" s="2" t="s">
        <v>92</v>
      </c>
      <c r="D17" s="25">
        <f>'Stavební rozpočet'!H26</f>
        <v>0</v>
      </c>
      <c r="E17" s="25">
        <f>'Stavební rozpočet'!I26</f>
        <v>0</v>
      </c>
      <c r="F17" s="25">
        <f>'Stavební rozpočet'!J26</f>
        <v>0</v>
      </c>
      <c r="G17" s="25">
        <f>'Stavební rozpočet'!L26</f>
        <v>1728.0496</v>
      </c>
      <c r="H17" s="25" t="s">
        <v>328</v>
      </c>
      <c r="I17" s="25">
        <f t="shared" si="0"/>
        <v>0</v>
      </c>
    </row>
    <row r="18" spans="1:9" ht="12.75">
      <c r="A18" s="2" t="s">
        <v>45</v>
      </c>
      <c r="B18" s="2" t="s">
        <v>104</v>
      </c>
      <c r="C18" s="2" t="s">
        <v>105</v>
      </c>
      <c r="D18" s="25">
        <f>'Stavební rozpočet'!H30</f>
        <v>0</v>
      </c>
      <c r="E18" s="25">
        <f>'Stavební rozpočet'!I30</f>
        <v>0</v>
      </c>
      <c r="F18" s="25">
        <f>'Stavební rozpočet'!J30</f>
        <v>0</v>
      </c>
      <c r="G18" s="25">
        <f>'Stavební rozpočet'!L30</f>
        <v>7478.2485</v>
      </c>
      <c r="H18" s="25" t="s">
        <v>328</v>
      </c>
      <c r="I18" s="25">
        <f t="shared" si="0"/>
        <v>0</v>
      </c>
    </row>
    <row r="19" spans="1:9" ht="12.75">
      <c r="A19" s="2" t="s">
        <v>45</v>
      </c>
      <c r="B19" s="2" t="s">
        <v>126</v>
      </c>
      <c r="C19" s="2" t="s">
        <v>127</v>
      </c>
      <c r="D19" s="25">
        <f>'Stavební rozpočet'!H41</f>
        <v>0</v>
      </c>
      <c r="E19" s="25">
        <f>'Stavební rozpočet'!I41</f>
        <v>0</v>
      </c>
      <c r="F19" s="25">
        <f>'Stavební rozpočet'!J41</f>
        <v>0</v>
      </c>
      <c r="G19" s="25">
        <f>'Stavební rozpočet'!L41</f>
        <v>2167.7496172250003</v>
      </c>
      <c r="H19" s="25" t="s">
        <v>328</v>
      </c>
      <c r="I19" s="25">
        <f t="shared" si="0"/>
        <v>0</v>
      </c>
    </row>
    <row r="20" spans="1:9" ht="12.75">
      <c r="A20" s="2" t="s">
        <v>45</v>
      </c>
      <c r="B20" s="2" t="s">
        <v>150</v>
      </c>
      <c r="C20" s="2" t="s">
        <v>151</v>
      </c>
      <c r="D20" s="25">
        <f>'Stavební rozpočet'!H53</f>
        <v>0</v>
      </c>
      <c r="E20" s="25">
        <f>'Stavební rozpočet'!I53</f>
        <v>0</v>
      </c>
      <c r="F20" s="25">
        <f>'Stavební rozpočet'!J53</f>
        <v>0</v>
      </c>
      <c r="G20" s="25">
        <f>'Stavební rozpočet'!L53</f>
        <v>1.190025</v>
      </c>
      <c r="H20" s="25" t="s">
        <v>328</v>
      </c>
      <c r="I20" s="25">
        <f t="shared" si="0"/>
        <v>0</v>
      </c>
    </row>
    <row r="21" spans="1:9" ht="12.75">
      <c r="A21" s="2" t="s">
        <v>45</v>
      </c>
      <c r="B21" s="2" t="s">
        <v>161</v>
      </c>
      <c r="C21" s="2" t="s">
        <v>162</v>
      </c>
      <c r="D21" s="25">
        <f>'Stavební rozpočet'!H57</f>
        <v>0</v>
      </c>
      <c r="E21" s="25">
        <f>'Stavební rozpočet'!I57</f>
        <v>0</v>
      </c>
      <c r="F21" s="25">
        <f>'Stavební rozpočet'!J57</f>
        <v>0</v>
      </c>
      <c r="G21" s="25">
        <f>'Stavební rozpočet'!L57</f>
        <v>0.1460844</v>
      </c>
      <c r="H21" s="25" t="s">
        <v>328</v>
      </c>
      <c r="I21" s="25">
        <f t="shared" si="0"/>
        <v>0</v>
      </c>
    </row>
    <row r="22" spans="1:9" ht="12.75">
      <c r="A22" s="2" t="s">
        <v>45</v>
      </c>
      <c r="B22" s="2" t="s">
        <v>171</v>
      </c>
      <c r="C22" s="2" t="s">
        <v>172</v>
      </c>
      <c r="D22" s="25">
        <f>'Stavební rozpočet'!H60</f>
        <v>0</v>
      </c>
      <c r="E22" s="25">
        <f>'Stavební rozpočet'!I60</f>
        <v>0</v>
      </c>
      <c r="F22" s="25">
        <f>'Stavební rozpočet'!J60</f>
        <v>0</v>
      </c>
      <c r="G22" s="25">
        <f>'Stavební rozpočet'!L60</f>
        <v>3.05967</v>
      </c>
      <c r="H22" s="25" t="s">
        <v>328</v>
      </c>
      <c r="I22" s="25">
        <f t="shared" si="0"/>
        <v>0</v>
      </c>
    </row>
    <row r="23" spans="1:9" ht="12.75">
      <c r="A23" s="2" t="s">
        <v>45</v>
      </c>
      <c r="B23" s="2" t="s">
        <v>179</v>
      </c>
      <c r="C23" s="2" t="s">
        <v>180</v>
      </c>
      <c r="D23" s="25">
        <f>'Stavební rozpočet'!H63</f>
        <v>0</v>
      </c>
      <c r="E23" s="25">
        <f>'Stavební rozpočet'!I63</f>
        <v>0</v>
      </c>
      <c r="F23" s="25">
        <f>'Stavební rozpočet'!J63</f>
        <v>0</v>
      </c>
      <c r="G23" s="25">
        <f>'Stavební rozpočet'!L63</f>
        <v>0.09033</v>
      </c>
      <c r="H23" s="25" t="s">
        <v>328</v>
      </c>
      <c r="I23" s="25">
        <f t="shared" si="0"/>
        <v>0</v>
      </c>
    </row>
    <row r="24" spans="1:9" ht="12.75">
      <c r="A24" s="2" t="s">
        <v>45</v>
      </c>
      <c r="B24" s="2" t="s">
        <v>186</v>
      </c>
      <c r="C24" s="2" t="s">
        <v>187</v>
      </c>
      <c r="D24" s="25">
        <f>'Stavební rozpočet'!H65</f>
        <v>0</v>
      </c>
      <c r="E24" s="25">
        <f>'Stavební rozpočet'!I65</f>
        <v>0</v>
      </c>
      <c r="F24" s="25">
        <f>'Stavební rozpočet'!J65</f>
        <v>0</v>
      </c>
      <c r="G24" s="25">
        <f>'Stavební rozpočet'!L65</f>
        <v>0</v>
      </c>
      <c r="H24" s="25" t="s">
        <v>328</v>
      </c>
      <c r="I24" s="25">
        <f t="shared" si="0"/>
        <v>0</v>
      </c>
    </row>
    <row r="25" spans="1:9" ht="12.75">
      <c r="A25" s="2" t="s">
        <v>198</v>
      </c>
      <c r="B25" s="2"/>
      <c r="C25" s="2" t="s">
        <v>199</v>
      </c>
      <c r="D25" s="25">
        <f>'Stavební rozpočet'!H69</f>
        <v>0</v>
      </c>
      <c r="E25" s="25">
        <f>'Stavební rozpočet'!I69</f>
        <v>0</v>
      </c>
      <c r="F25" s="25">
        <f>'Stavební rozpočet'!J69</f>
        <v>0</v>
      </c>
      <c r="G25" s="25">
        <f>'Stavební rozpočet'!L69</f>
        <v>1501.5479053600002</v>
      </c>
      <c r="H25" s="25" t="s">
        <v>327</v>
      </c>
      <c r="I25" s="25">
        <f t="shared" si="0"/>
        <v>0</v>
      </c>
    </row>
    <row r="26" spans="1:9" ht="12.75">
      <c r="A26" s="2" t="s">
        <v>198</v>
      </c>
      <c r="B26" s="2" t="s">
        <v>47</v>
      </c>
      <c r="C26" s="2" t="s">
        <v>48</v>
      </c>
      <c r="D26" s="25">
        <f>'Stavební rozpočet'!H70</f>
        <v>0</v>
      </c>
      <c r="E26" s="25">
        <f>'Stavební rozpočet'!I70</f>
        <v>0</v>
      </c>
      <c r="F26" s="25">
        <f>'Stavební rozpočet'!J70</f>
        <v>0</v>
      </c>
      <c r="G26" s="25">
        <f>'Stavební rozpočet'!L70</f>
        <v>0</v>
      </c>
      <c r="H26" s="25" t="s">
        <v>328</v>
      </c>
      <c r="I26" s="25">
        <f t="shared" si="0"/>
        <v>0</v>
      </c>
    </row>
    <row r="27" spans="1:9" ht="12.75">
      <c r="A27" s="2" t="s">
        <v>198</v>
      </c>
      <c r="B27" s="2" t="s">
        <v>57</v>
      </c>
      <c r="C27" s="2" t="s">
        <v>58</v>
      </c>
      <c r="D27" s="25">
        <f>'Stavební rozpočet'!H72</f>
        <v>0</v>
      </c>
      <c r="E27" s="25">
        <f>'Stavební rozpočet'!I72</f>
        <v>0</v>
      </c>
      <c r="F27" s="25">
        <f>'Stavební rozpočet'!J72</f>
        <v>0</v>
      </c>
      <c r="G27" s="25">
        <f>'Stavební rozpočet'!L72</f>
        <v>0</v>
      </c>
      <c r="H27" s="25" t="s">
        <v>328</v>
      </c>
      <c r="I27" s="25">
        <f t="shared" si="0"/>
        <v>0</v>
      </c>
    </row>
    <row r="28" spans="1:9" ht="12.75">
      <c r="A28" s="2" t="s">
        <v>198</v>
      </c>
      <c r="B28" s="2" t="s">
        <v>78</v>
      </c>
      <c r="C28" s="2" t="s">
        <v>79</v>
      </c>
      <c r="D28" s="25">
        <f>'Stavební rozpočet'!H76</f>
        <v>0</v>
      </c>
      <c r="E28" s="25">
        <f>'Stavební rozpočet'!I76</f>
        <v>0</v>
      </c>
      <c r="F28" s="25">
        <f>'Stavební rozpočet'!J76</f>
        <v>0</v>
      </c>
      <c r="G28" s="25">
        <f>'Stavební rozpočet'!L76</f>
        <v>0</v>
      </c>
      <c r="H28" s="25" t="s">
        <v>328</v>
      </c>
      <c r="I28" s="25">
        <f t="shared" si="0"/>
        <v>0</v>
      </c>
    </row>
    <row r="29" spans="1:9" ht="12.75">
      <c r="A29" s="2" t="s">
        <v>198</v>
      </c>
      <c r="B29" s="2" t="s">
        <v>128</v>
      </c>
      <c r="C29" s="2" t="s">
        <v>215</v>
      </c>
      <c r="D29" s="25">
        <f>'Stavební rozpočet'!H78</f>
        <v>0</v>
      </c>
      <c r="E29" s="25">
        <f>'Stavební rozpočet'!I78</f>
        <v>0</v>
      </c>
      <c r="F29" s="25">
        <f>'Stavební rozpočet'!J78</f>
        <v>0</v>
      </c>
      <c r="G29" s="25">
        <f>'Stavební rozpočet'!L78</f>
        <v>0</v>
      </c>
      <c r="H29" s="25" t="s">
        <v>328</v>
      </c>
      <c r="I29" s="25">
        <f t="shared" si="0"/>
        <v>0</v>
      </c>
    </row>
    <row r="30" spans="1:9" ht="12.75">
      <c r="A30" s="2" t="s">
        <v>198</v>
      </c>
      <c r="B30" s="2" t="s">
        <v>173</v>
      </c>
      <c r="C30" s="2" t="s">
        <v>220</v>
      </c>
      <c r="D30" s="25">
        <f>'Stavební rozpočet'!H80</f>
        <v>0</v>
      </c>
      <c r="E30" s="25">
        <f>'Stavební rozpočet'!I80</f>
        <v>0</v>
      </c>
      <c r="F30" s="25">
        <f>'Stavební rozpočet'!J80</f>
        <v>0</v>
      </c>
      <c r="G30" s="25">
        <f>'Stavební rozpočet'!L80</f>
        <v>1023.4139717600001</v>
      </c>
      <c r="H30" s="25" t="s">
        <v>328</v>
      </c>
      <c r="I30" s="25">
        <f t="shared" si="0"/>
        <v>0</v>
      </c>
    </row>
    <row r="31" spans="1:9" ht="12.75">
      <c r="A31" s="2" t="s">
        <v>198</v>
      </c>
      <c r="B31" s="2" t="s">
        <v>195</v>
      </c>
      <c r="C31" s="2" t="s">
        <v>249</v>
      </c>
      <c r="D31" s="25">
        <f>'Stavební rozpočet'!H91</f>
        <v>0</v>
      </c>
      <c r="E31" s="25">
        <f>'Stavební rozpočet'!I91</f>
        <v>0</v>
      </c>
      <c r="F31" s="25">
        <f>'Stavební rozpočet'!J91</f>
        <v>0</v>
      </c>
      <c r="G31" s="25">
        <f>'Stavební rozpočet'!L91</f>
        <v>250.15796360000004</v>
      </c>
      <c r="H31" s="25" t="s">
        <v>328</v>
      </c>
      <c r="I31" s="25">
        <f t="shared" si="0"/>
        <v>0</v>
      </c>
    </row>
    <row r="32" spans="1:9" ht="12.75">
      <c r="A32" s="2" t="s">
        <v>198</v>
      </c>
      <c r="B32" s="2" t="s">
        <v>205</v>
      </c>
      <c r="C32" s="2" t="s">
        <v>265</v>
      </c>
      <c r="D32" s="25">
        <f>'Stavební rozpočet'!H97</f>
        <v>0</v>
      </c>
      <c r="E32" s="25">
        <f>'Stavební rozpočet'!I97</f>
        <v>0</v>
      </c>
      <c r="F32" s="25">
        <f>'Stavební rozpočet'!J97</f>
        <v>0</v>
      </c>
      <c r="G32" s="25">
        <f>'Stavební rozpočet'!L97</f>
        <v>9.34347</v>
      </c>
      <c r="H32" s="25" t="s">
        <v>328</v>
      </c>
      <c r="I32" s="25">
        <f t="shared" si="0"/>
        <v>0</v>
      </c>
    </row>
    <row r="33" spans="1:9" ht="12.75">
      <c r="A33" s="2" t="s">
        <v>198</v>
      </c>
      <c r="B33" s="2" t="s">
        <v>221</v>
      </c>
      <c r="C33" s="2" t="s">
        <v>277</v>
      </c>
      <c r="D33" s="25">
        <f>'Stavební rozpočet'!H102</f>
        <v>0</v>
      </c>
      <c r="E33" s="25">
        <f>'Stavební rozpočet'!I102</f>
        <v>0</v>
      </c>
      <c r="F33" s="25">
        <f>'Stavební rozpočet'!J102</f>
        <v>0</v>
      </c>
      <c r="G33" s="25">
        <f>'Stavební rozpočet'!L102</f>
        <v>213.64386</v>
      </c>
      <c r="H33" s="25" t="s">
        <v>328</v>
      </c>
      <c r="I33" s="25">
        <f t="shared" si="0"/>
        <v>0</v>
      </c>
    </row>
    <row r="34" spans="1:9" ht="12.75">
      <c r="A34" s="2" t="s">
        <v>198</v>
      </c>
      <c r="B34" s="2" t="s">
        <v>150</v>
      </c>
      <c r="C34" s="2" t="s">
        <v>151</v>
      </c>
      <c r="D34" s="25">
        <f>'Stavební rozpočet'!H106</f>
        <v>0</v>
      </c>
      <c r="E34" s="25">
        <f>'Stavební rozpočet'!I106</f>
        <v>0</v>
      </c>
      <c r="F34" s="25">
        <f>'Stavební rozpočet'!J106</f>
        <v>0</v>
      </c>
      <c r="G34" s="25">
        <f>'Stavební rozpočet'!L106</f>
        <v>0.007640000000000001</v>
      </c>
      <c r="H34" s="25" t="s">
        <v>328</v>
      </c>
      <c r="I34" s="25">
        <f t="shared" si="0"/>
        <v>0</v>
      </c>
    </row>
    <row r="35" spans="1:9" ht="12.75">
      <c r="A35" s="2" t="s">
        <v>198</v>
      </c>
      <c r="B35" s="2" t="s">
        <v>291</v>
      </c>
      <c r="C35" s="2" t="s">
        <v>292</v>
      </c>
      <c r="D35" s="25">
        <f>'Stavební rozpočet'!H109</f>
        <v>0</v>
      </c>
      <c r="E35" s="25">
        <f>'Stavební rozpočet'!I109</f>
        <v>0</v>
      </c>
      <c r="F35" s="25">
        <f>'Stavební rozpočet'!J109</f>
        <v>0</v>
      </c>
      <c r="G35" s="25">
        <f>'Stavební rozpočet'!L109</f>
        <v>1.901</v>
      </c>
      <c r="H35" s="25" t="s">
        <v>328</v>
      </c>
      <c r="I35" s="25">
        <f t="shared" si="0"/>
        <v>0</v>
      </c>
    </row>
    <row r="36" spans="1:9" ht="12.75">
      <c r="A36" s="2" t="s">
        <v>198</v>
      </c>
      <c r="B36" s="2" t="s">
        <v>302</v>
      </c>
      <c r="C36" s="2" t="s">
        <v>303</v>
      </c>
      <c r="D36" s="25">
        <f>'Stavební rozpočet'!H113</f>
        <v>0</v>
      </c>
      <c r="E36" s="25">
        <f>'Stavební rozpočet'!I113</f>
        <v>0</v>
      </c>
      <c r="F36" s="25">
        <f>'Stavební rozpočet'!J113</f>
        <v>0</v>
      </c>
      <c r="G36" s="25">
        <f>'Stavební rozpočet'!L113</f>
        <v>3.08</v>
      </c>
      <c r="H36" s="25" t="s">
        <v>328</v>
      </c>
      <c r="I36" s="25">
        <f t="shared" si="0"/>
        <v>0</v>
      </c>
    </row>
    <row r="37" spans="1:9" ht="12.75">
      <c r="A37" s="2" t="s">
        <v>198</v>
      </c>
      <c r="B37" s="2" t="s">
        <v>313</v>
      </c>
      <c r="C37" s="2" t="s">
        <v>314</v>
      </c>
      <c r="D37" s="25">
        <f>'Stavební rozpočet'!H117</f>
        <v>0</v>
      </c>
      <c r="E37" s="25">
        <f>'Stavební rozpočet'!I117</f>
        <v>0</v>
      </c>
      <c r="F37" s="25">
        <f>'Stavební rozpočet'!J117</f>
        <v>0</v>
      </c>
      <c r="G37" s="25">
        <f>'Stavební rozpočet'!L117</f>
        <v>0</v>
      </c>
      <c r="H37" s="25" t="s">
        <v>328</v>
      </c>
      <c r="I37" s="25">
        <f t="shared" si="0"/>
        <v>0</v>
      </c>
    </row>
    <row r="39" spans="5:6" ht="12.75">
      <c r="E39" s="41" t="s">
        <v>319</v>
      </c>
      <c r="F39" s="42">
        <f>SUM(I11:I37)</f>
        <v>0</v>
      </c>
    </row>
  </sheetData>
  <sheetProtection selectLockedCells="1" selectUnlockedCells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1"/>
  <sheetViews>
    <sheetView zoomScalePageLayoutView="0" workbookViewId="0" topLeftCell="A1">
      <pane ySplit="11" topLeftCell="A108" activePane="bottomLeft" state="frozen"/>
      <selection pane="topLeft" activeCell="A1" sqref="A1"/>
      <selection pane="bottomLeft" activeCell="G125" sqref="G125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66.281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4" ht="12.75" customHeight="1">
      <c r="A2" s="73" t="s">
        <v>1</v>
      </c>
      <c r="B2" s="73"/>
      <c r="C2" s="73"/>
      <c r="D2" s="74" t="s">
        <v>436</v>
      </c>
      <c r="E2" s="100" t="s">
        <v>2</v>
      </c>
      <c r="F2" s="100"/>
      <c r="G2" s="100" t="s">
        <v>3</v>
      </c>
      <c r="H2" s="75" t="s">
        <v>4</v>
      </c>
      <c r="I2" s="76" t="s">
        <v>5</v>
      </c>
      <c r="J2" s="76"/>
      <c r="K2" s="76"/>
      <c r="L2" s="76"/>
      <c r="M2" s="76"/>
      <c r="N2" s="1"/>
    </row>
    <row r="3" spans="1:14" ht="12.75">
      <c r="A3" s="73"/>
      <c r="B3" s="73"/>
      <c r="C3" s="73"/>
      <c r="D3" s="74"/>
      <c r="E3" s="100"/>
      <c r="F3" s="100"/>
      <c r="G3" s="100"/>
      <c r="H3" s="100"/>
      <c r="I3" s="100"/>
      <c r="J3" s="76"/>
      <c r="K3" s="76"/>
      <c r="L3" s="76"/>
      <c r="M3" s="76"/>
      <c r="N3" s="1"/>
    </row>
    <row r="4" spans="1:14" ht="12.75" customHeight="1">
      <c r="A4" s="77" t="s">
        <v>6</v>
      </c>
      <c r="B4" s="77"/>
      <c r="C4" s="77"/>
      <c r="D4" s="78" t="s">
        <v>3</v>
      </c>
      <c r="E4" s="80" t="s">
        <v>7</v>
      </c>
      <c r="F4" s="80"/>
      <c r="G4" s="80"/>
      <c r="H4" s="78" t="s">
        <v>8</v>
      </c>
      <c r="I4" s="79" t="s">
        <v>5</v>
      </c>
      <c r="J4" s="79"/>
      <c r="K4" s="79"/>
      <c r="L4" s="79"/>
      <c r="M4" s="79"/>
      <c r="N4" s="1"/>
    </row>
    <row r="5" spans="1:14" ht="12.75">
      <c r="A5" s="77"/>
      <c r="B5" s="77"/>
      <c r="C5" s="77"/>
      <c r="D5" s="78"/>
      <c r="E5" s="78"/>
      <c r="F5" s="80"/>
      <c r="G5" s="80"/>
      <c r="H5" s="80"/>
      <c r="I5" s="80"/>
      <c r="J5" s="79"/>
      <c r="K5" s="79"/>
      <c r="L5" s="79"/>
      <c r="M5" s="79"/>
      <c r="N5" s="1"/>
    </row>
    <row r="6" spans="1:14" ht="12.75" customHeight="1">
      <c r="A6" s="77" t="s">
        <v>9</v>
      </c>
      <c r="B6" s="77"/>
      <c r="C6" s="77"/>
      <c r="D6" s="78" t="s">
        <v>10</v>
      </c>
      <c r="E6" s="80" t="s">
        <v>11</v>
      </c>
      <c r="F6" s="80"/>
      <c r="G6" s="80" t="s">
        <v>3</v>
      </c>
      <c r="H6" s="78" t="s">
        <v>12</v>
      </c>
      <c r="I6" s="79" t="s">
        <v>5</v>
      </c>
      <c r="J6" s="79"/>
      <c r="K6" s="79"/>
      <c r="L6" s="79"/>
      <c r="M6" s="79"/>
      <c r="N6" s="1"/>
    </row>
    <row r="7" spans="1:14" ht="12.75">
      <c r="A7" s="77"/>
      <c r="B7" s="77"/>
      <c r="C7" s="77"/>
      <c r="D7" s="78"/>
      <c r="E7" s="78"/>
      <c r="F7" s="80"/>
      <c r="G7" s="80"/>
      <c r="H7" s="80"/>
      <c r="I7" s="80"/>
      <c r="J7" s="79"/>
      <c r="K7" s="79"/>
      <c r="L7" s="79"/>
      <c r="M7" s="79"/>
      <c r="N7" s="1"/>
    </row>
    <row r="8" spans="1:14" ht="12.75" customHeight="1">
      <c r="A8" s="96" t="s">
        <v>13</v>
      </c>
      <c r="B8" s="96"/>
      <c r="C8" s="96"/>
      <c r="D8" s="97" t="s">
        <v>3</v>
      </c>
      <c r="E8" s="98" t="s">
        <v>14</v>
      </c>
      <c r="F8" s="98"/>
      <c r="G8" s="98" t="s">
        <v>435</v>
      </c>
      <c r="H8" s="97" t="s">
        <v>15</v>
      </c>
      <c r="I8" s="101" t="s">
        <v>5</v>
      </c>
      <c r="J8" s="101"/>
      <c r="K8" s="101"/>
      <c r="L8" s="101"/>
      <c r="M8" s="101"/>
      <c r="N8" s="1"/>
    </row>
    <row r="9" spans="1:14" ht="12.75">
      <c r="A9" s="96"/>
      <c r="B9" s="96"/>
      <c r="C9" s="96"/>
      <c r="D9" s="97"/>
      <c r="E9" s="97"/>
      <c r="F9" s="98"/>
      <c r="G9" s="98"/>
      <c r="H9" s="98"/>
      <c r="I9" s="98"/>
      <c r="J9" s="101"/>
      <c r="K9" s="101"/>
      <c r="L9" s="101"/>
      <c r="M9" s="101"/>
      <c r="N9" s="1"/>
    </row>
    <row r="10" spans="1:14" ht="12.75">
      <c r="A10" s="3" t="s">
        <v>16</v>
      </c>
      <c r="B10" s="4" t="s">
        <v>17</v>
      </c>
      <c r="C10" s="4" t="s">
        <v>18</v>
      </c>
      <c r="D10" s="4" t="s">
        <v>19</v>
      </c>
      <c r="E10" s="4" t="s">
        <v>20</v>
      </c>
      <c r="F10" s="5" t="s">
        <v>21</v>
      </c>
      <c r="G10" s="6" t="s">
        <v>22</v>
      </c>
      <c r="H10" s="102" t="s">
        <v>23</v>
      </c>
      <c r="I10" s="102"/>
      <c r="J10" s="102"/>
      <c r="K10" s="102" t="s">
        <v>24</v>
      </c>
      <c r="L10" s="102"/>
      <c r="M10" s="7" t="s">
        <v>25</v>
      </c>
      <c r="N10" s="8"/>
    </row>
    <row r="11" spans="1:62" ht="12.75">
      <c r="A11" s="9" t="s">
        <v>3</v>
      </c>
      <c r="B11" s="10" t="s">
        <v>3</v>
      </c>
      <c r="C11" s="10" t="s">
        <v>3</v>
      </c>
      <c r="D11" s="11" t="s">
        <v>26</v>
      </c>
      <c r="E11" s="10" t="s">
        <v>3</v>
      </c>
      <c r="F11" s="10" t="s">
        <v>3</v>
      </c>
      <c r="G11" s="12" t="s">
        <v>27</v>
      </c>
      <c r="H11" s="13" t="s">
        <v>28</v>
      </c>
      <c r="I11" s="14" t="s">
        <v>29</v>
      </c>
      <c r="J11" s="15" t="s">
        <v>30</v>
      </c>
      <c r="K11" s="13" t="s">
        <v>31</v>
      </c>
      <c r="L11" s="15" t="s">
        <v>30</v>
      </c>
      <c r="M11" s="16" t="s">
        <v>32</v>
      </c>
      <c r="N11" s="8"/>
      <c r="Z11" s="17" t="s">
        <v>33</v>
      </c>
      <c r="AA11" s="17" t="s">
        <v>34</v>
      </c>
      <c r="AB11" s="17" t="s">
        <v>35</v>
      </c>
      <c r="AC11" s="17" t="s">
        <v>36</v>
      </c>
      <c r="AD11" s="17" t="s">
        <v>37</v>
      </c>
      <c r="AE11" s="17" t="s">
        <v>38</v>
      </c>
      <c r="AF11" s="17" t="s">
        <v>39</v>
      </c>
      <c r="AG11" s="17" t="s">
        <v>40</v>
      </c>
      <c r="AH11" s="17" t="s">
        <v>41</v>
      </c>
      <c r="BH11" s="17" t="s">
        <v>42</v>
      </c>
      <c r="BI11" s="17" t="s">
        <v>43</v>
      </c>
      <c r="BJ11" s="17" t="s">
        <v>44</v>
      </c>
    </row>
    <row r="12" spans="1:13" ht="12.75">
      <c r="A12" s="18"/>
      <c r="B12" s="19" t="s">
        <v>45</v>
      </c>
      <c r="C12" s="19"/>
      <c r="D12" s="19" t="s">
        <v>46</v>
      </c>
      <c r="E12" s="18" t="s">
        <v>3</v>
      </c>
      <c r="F12" s="18" t="s">
        <v>3</v>
      </c>
      <c r="G12" s="18" t="s">
        <v>3</v>
      </c>
      <c r="H12" s="20">
        <f>H13+H15+H18+H22+H24+H26+H30+H41+H53+H57+H60+H63+H65</f>
        <v>0</v>
      </c>
      <c r="I12" s="20">
        <f>I13+I15+I18+I22+I24+I26+I30+I41+I53+I57+I60+I63+I65</f>
        <v>0</v>
      </c>
      <c r="J12" s="20">
        <f>J13+J15+J18+J22+J24+J26+J30+J41+J53+J57+J60+J63+J65</f>
        <v>0</v>
      </c>
      <c r="K12" s="21"/>
      <c r="L12" s="20">
        <f>L13+L15+L18+L22+L24+L26+L30+L41+L53+L57+L60+L63+L65</f>
        <v>11378.633006625001</v>
      </c>
      <c r="M12" s="21"/>
    </row>
    <row r="13" spans="1:47" ht="12.75">
      <c r="A13" s="22"/>
      <c r="B13" s="23" t="s">
        <v>45</v>
      </c>
      <c r="C13" s="23" t="s">
        <v>47</v>
      </c>
      <c r="D13" s="23" t="s">
        <v>48</v>
      </c>
      <c r="E13" s="22" t="s">
        <v>3</v>
      </c>
      <c r="F13" s="22" t="s">
        <v>3</v>
      </c>
      <c r="G13" s="22" t="s">
        <v>3</v>
      </c>
      <c r="H13" s="24">
        <f>SUM(H14:H14)</f>
        <v>0</v>
      </c>
      <c r="I13" s="24">
        <f>SUM(I14:I14)</f>
        <v>0</v>
      </c>
      <c r="J13" s="24">
        <f>SUM(J14:J14)</f>
        <v>0</v>
      </c>
      <c r="K13" s="17"/>
      <c r="L13" s="24">
        <f>SUM(L14:L14)</f>
        <v>0</v>
      </c>
      <c r="M13" s="17"/>
      <c r="AI13" s="17" t="s">
        <v>45</v>
      </c>
      <c r="AS13" s="24">
        <f>SUM(AJ14:AJ14)</f>
        <v>0</v>
      </c>
      <c r="AT13" s="24">
        <f>SUM(AK14:AK14)</f>
        <v>0</v>
      </c>
      <c r="AU13" s="24">
        <f>SUM(AL14:AL14)</f>
        <v>0</v>
      </c>
    </row>
    <row r="14" spans="1:62" ht="12.75">
      <c r="A14" s="2" t="s">
        <v>49</v>
      </c>
      <c r="B14" s="2" t="s">
        <v>45</v>
      </c>
      <c r="C14" s="2" t="s">
        <v>50</v>
      </c>
      <c r="D14" s="2" t="s">
        <v>51</v>
      </c>
      <c r="E14" s="2" t="s">
        <v>52</v>
      </c>
      <c r="F14" s="25">
        <v>4311.1375</v>
      </c>
      <c r="G14" s="25">
        <v>0</v>
      </c>
      <c r="H14" s="25">
        <f>F14*AO14</f>
        <v>0</v>
      </c>
      <c r="I14" s="25">
        <f>F14*AP14</f>
        <v>0</v>
      </c>
      <c r="J14" s="25">
        <f>F14*G14</f>
        <v>0</v>
      </c>
      <c r="K14" s="25">
        <v>0</v>
      </c>
      <c r="L14" s="25">
        <f>F14*K14</f>
        <v>0</v>
      </c>
      <c r="M14" s="26" t="s">
        <v>53</v>
      </c>
      <c r="Z14" s="25">
        <f>IF(AQ14="5",BJ14,0)</f>
        <v>0</v>
      </c>
      <c r="AB14" s="25">
        <f>IF(AQ14="1",BH14,0)</f>
        <v>0</v>
      </c>
      <c r="AC14" s="25">
        <f>IF(AQ14="1",BI14,0)</f>
        <v>0</v>
      </c>
      <c r="AD14" s="25">
        <f>IF(AQ14="7",BH14,0)</f>
        <v>0</v>
      </c>
      <c r="AE14" s="25">
        <f>IF(AQ14="7",BI14,0)</f>
        <v>0</v>
      </c>
      <c r="AF14" s="25">
        <f>IF(AQ14="2",BH14,0)</f>
        <v>0</v>
      </c>
      <c r="AG14" s="25">
        <f>IF(AQ14="2",BI14,0)</f>
        <v>0</v>
      </c>
      <c r="AH14" s="25">
        <f>IF(AQ14="0",BJ14,0)</f>
        <v>0</v>
      </c>
      <c r="AI14" s="17" t="s">
        <v>45</v>
      </c>
      <c r="AJ14" s="25">
        <f>IF(AN14=0,J14,0)</f>
        <v>0</v>
      </c>
      <c r="AK14" s="25">
        <f>IF(AN14=15,J14,0)</f>
        <v>0</v>
      </c>
      <c r="AL14" s="25">
        <f>IF(AN14=21,J14,0)</f>
        <v>0</v>
      </c>
      <c r="AN14" s="25">
        <v>21</v>
      </c>
      <c r="AO14" s="25">
        <f>G14*0</f>
        <v>0</v>
      </c>
      <c r="AP14" s="25">
        <f>G14*(1-0)</f>
        <v>0</v>
      </c>
      <c r="AQ14" s="26" t="s">
        <v>49</v>
      </c>
      <c r="AV14" s="25">
        <f>AW14+AX14</f>
        <v>0</v>
      </c>
      <c r="AW14" s="25">
        <f>F14*AO14</f>
        <v>0</v>
      </c>
      <c r="AX14" s="25">
        <f>F14*AP14</f>
        <v>0</v>
      </c>
      <c r="AY14" s="26" t="s">
        <v>54</v>
      </c>
      <c r="AZ14" s="26" t="s">
        <v>55</v>
      </c>
      <c r="BA14" s="17" t="s">
        <v>56</v>
      </c>
      <c r="BC14" s="25">
        <f>AW14+AX14</f>
        <v>0</v>
      </c>
      <c r="BD14" s="25">
        <f>G14/(100-BE14)*100</f>
        <v>0</v>
      </c>
      <c r="BE14" s="25">
        <v>0</v>
      </c>
      <c r="BF14" s="25">
        <f>L14</f>
        <v>0</v>
      </c>
      <c r="BH14" s="25">
        <f>F14*AO14</f>
        <v>0</v>
      </c>
      <c r="BI14" s="25">
        <f>F14*AP14</f>
        <v>0</v>
      </c>
      <c r="BJ14" s="25">
        <f>F14*G14</f>
        <v>0</v>
      </c>
    </row>
    <row r="15" spans="1:47" ht="12.75">
      <c r="A15" s="22"/>
      <c r="B15" s="23" t="s">
        <v>45</v>
      </c>
      <c r="C15" s="23" t="s">
        <v>57</v>
      </c>
      <c r="D15" s="23" t="s">
        <v>58</v>
      </c>
      <c r="E15" s="22" t="s">
        <v>3</v>
      </c>
      <c r="F15" s="22" t="s">
        <v>3</v>
      </c>
      <c r="G15" s="22" t="s">
        <v>3</v>
      </c>
      <c r="H15" s="24">
        <f>SUM(H16:H17)</f>
        <v>0</v>
      </c>
      <c r="I15" s="24">
        <f>SUM(I16:I17)</f>
        <v>0</v>
      </c>
      <c r="J15" s="24">
        <f>SUM(J16:J17)</f>
        <v>0</v>
      </c>
      <c r="K15" s="17"/>
      <c r="L15" s="24">
        <f>SUM(L16:L17)</f>
        <v>0</v>
      </c>
      <c r="M15" s="17"/>
      <c r="AI15" s="17" t="s">
        <v>45</v>
      </c>
      <c r="AS15" s="24">
        <f>SUM(AJ16:AJ17)</f>
        <v>0</v>
      </c>
      <c r="AT15" s="24">
        <f>SUM(AK16:AK17)</f>
        <v>0</v>
      </c>
      <c r="AU15" s="24">
        <f>SUM(AL16:AL17)</f>
        <v>0</v>
      </c>
    </row>
    <row r="16" spans="1:62" ht="12.75">
      <c r="A16" s="2" t="s">
        <v>59</v>
      </c>
      <c r="B16" s="2" t="s">
        <v>45</v>
      </c>
      <c r="C16" s="2" t="s">
        <v>60</v>
      </c>
      <c r="D16" s="2" t="s">
        <v>61</v>
      </c>
      <c r="E16" s="2" t="s">
        <v>52</v>
      </c>
      <c r="F16" s="25">
        <v>60</v>
      </c>
      <c r="G16" s="25">
        <v>0</v>
      </c>
      <c r="H16" s="25">
        <f>F16*AO16</f>
        <v>0</v>
      </c>
      <c r="I16" s="25">
        <f>F16*AP16</f>
        <v>0</v>
      </c>
      <c r="J16" s="25">
        <f>F16*G16</f>
        <v>0</v>
      </c>
      <c r="K16" s="25">
        <v>0</v>
      </c>
      <c r="L16" s="25">
        <f>F16*K16</f>
        <v>0</v>
      </c>
      <c r="M16" s="26" t="s">
        <v>53</v>
      </c>
      <c r="Z16" s="25">
        <f>IF(AQ16="5",BJ16,0)</f>
        <v>0</v>
      </c>
      <c r="AB16" s="25">
        <f>IF(AQ16="1",BH16,0)</f>
        <v>0</v>
      </c>
      <c r="AC16" s="25">
        <f>IF(AQ16="1",BI16,0)</f>
        <v>0</v>
      </c>
      <c r="AD16" s="25">
        <f>IF(AQ16="7",BH16,0)</f>
        <v>0</v>
      </c>
      <c r="AE16" s="25">
        <f>IF(AQ16="7",BI16,0)</f>
        <v>0</v>
      </c>
      <c r="AF16" s="25">
        <f>IF(AQ16="2",BH16,0)</f>
        <v>0</v>
      </c>
      <c r="AG16" s="25">
        <f>IF(AQ16="2",BI16,0)</f>
        <v>0</v>
      </c>
      <c r="AH16" s="25">
        <f>IF(AQ16="0",BJ16,0)</f>
        <v>0</v>
      </c>
      <c r="AI16" s="17" t="s">
        <v>45</v>
      </c>
      <c r="AJ16" s="25">
        <f>IF(AN16=0,J16,0)</f>
        <v>0</v>
      </c>
      <c r="AK16" s="25">
        <f>IF(AN16=15,J16,0)</f>
        <v>0</v>
      </c>
      <c r="AL16" s="25">
        <f>IF(AN16=21,J16,0)</f>
        <v>0</v>
      </c>
      <c r="AN16" s="25">
        <v>21</v>
      </c>
      <c r="AO16" s="25">
        <f>G16*0</f>
        <v>0</v>
      </c>
      <c r="AP16" s="25">
        <f>G16*(1-0)</f>
        <v>0</v>
      </c>
      <c r="AQ16" s="26" t="s">
        <v>49</v>
      </c>
      <c r="AV16" s="25">
        <f>AW16+AX16</f>
        <v>0</v>
      </c>
      <c r="AW16" s="25">
        <f>F16*AO16</f>
        <v>0</v>
      </c>
      <c r="AX16" s="25">
        <f>F16*AP16</f>
        <v>0</v>
      </c>
      <c r="AY16" s="26" t="s">
        <v>62</v>
      </c>
      <c r="AZ16" s="26" t="s">
        <v>55</v>
      </c>
      <c r="BA16" s="17" t="s">
        <v>56</v>
      </c>
      <c r="BC16" s="25">
        <f>AW16+AX16</f>
        <v>0</v>
      </c>
      <c r="BD16" s="25">
        <f>G16/(100-BE16)*100</f>
        <v>0</v>
      </c>
      <c r="BE16" s="25">
        <v>0</v>
      </c>
      <c r="BF16" s="25">
        <f>L16</f>
        <v>0</v>
      </c>
      <c r="BH16" s="25">
        <f>F16*AO16</f>
        <v>0</v>
      </c>
      <c r="BI16" s="25">
        <f>F16*AP16</f>
        <v>0</v>
      </c>
      <c r="BJ16" s="25">
        <f>F16*G16</f>
        <v>0</v>
      </c>
    </row>
    <row r="17" spans="1:62" ht="12.75">
      <c r="A17" s="2" t="s">
        <v>63</v>
      </c>
      <c r="B17" s="2" t="s">
        <v>45</v>
      </c>
      <c r="C17" s="2" t="s">
        <v>64</v>
      </c>
      <c r="D17" s="2" t="s">
        <v>65</v>
      </c>
      <c r="E17" s="2" t="s">
        <v>52</v>
      </c>
      <c r="F17" s="25">
        <v>1000</v>
      </c>
      <c r="G17" s="25">
        <v>0</v>
      </c>
      <c r="H17" s="25">
        <f>F17*AO17</f>
        <v>0</v>
      </c>
      <c r="I17" s="25">
        <f>F17*AP17</f>
        <v>0</v>
      </c>
      <c r="J17" s="25">
        <f>F17*G17</f>
        <v>0</v>
      </c>
      <c r="K17" s="25">
        <v>0</v>
      </c>
      <c r="L17" s="25">
        <f>F17*K17</f>
        <v>0</v>
      </c>
      <c r="M17" s="26" t="s">
        <v>53</v>
      </c>
      <c r="Z17" s="25">
        <f>IF(AQ17="5",BJ17,0)</f>
        <v>0</v>
      </c>
      <c r="AB17" s="25">
        <f>IF(AQ17="1",BH17,0)</f>
        <v>0</v>
      </c>
      <c r="AC17" s="25">
        <f>IF(AQ17="1",BI17,0)</f>
        <v>0</v>
      </c>
      <c r="AD17" s="25">
        <f>IF(AQ17="7",BH17,0)</f>
        <v>0</v>
      </c>
      <c r="AE17" s="25">
        <f>IF(AQ17="7",BI17,0)</f>
        <v>0</v>
      </c>
      <c r="AF17" s="25">
        <f>IF(AQ17="2",BH17,0)</f>
        <v>0</v>
      </c>
      <c r="AG17" s="25">
        <f>IF(AQ17="2",BI17,0)</f>
        <v>0</v>
      </c>
      <c r="AH17" s="25">
        <f>IF(AQ17="0",BJ17,0)</f>
        <v>0</v>
      </c>
      <c r="AI17" s="17" t="s">
        <v>45</v>
      </c>
      <c r="AJ17" s="25">
        <f>IF(AN17=0,J17,0)</f>
        <v>0</v>
      </c>
      <c r="AK17" s="25">
        <f>IF(AN17=15,J17,0)</f>
        <v>0</v>
      </c>
      <c r="AL17" s="25">
        <f>IF(AN17=21,J17,0)</f>
        <v>0</v>
      </c>
      <c r="AN17" s="25">
        <v>21</v>
      </c>
      <c r="AO17" s="25">
        <f>G17*0</f>
        <v>0</v>
      </c>
      <c r="AP17" s="25">
        <f>G17*(1-0)</f>
        <v>0</v>
      </c>
      <c r="AQ17" s="26" t="s">
        <v>49</v>
      </c>
      <c r="AV17" s="25">
        <f>AW17+AX17</f>
        <v>0</v>
      </c>
      <c r="AW17" s="25">
        <f>F17*AO17</f>
        <v>0</v>
      </c>
      <c r="AX17" s="25">
        <f>F17*AP17</f>
        <v>0</v>
      </c>
      <c r="AY17" s="26" t="s">
        <v>62</v>
      </c>
      <c r="AZ17" s="26" t="s">
        <v>55</v>
      </c>
      <c r="BA17" s="17" t="s">
        <v>56</v>
      </c>
      <c r="BC17" s="25">
        <f>AW17+AX17</f>
        <v>0</v>
      </c>
      <c r="BD17" s="25">
        <f>G17/(100-BE17)*100</f>
        <v>0</v>
      </c>
      <c r="BE17" s="25">
        <v>0</v>
      </c>
      <c r="BF17" s="25">
        <f>L17</f>
        <v>0</v>
      </c>
      <c r="BH17" s="25">
        <f>F17*AO17</f>
        <v>0</v>
      </c>
      <c r="BI17" s="25">
        <f>F17*AP17</f>
        <v>0</v>
      </c>
      <c r="BJ17" s="25">
        <f>F17*G17</f>
        <v>0</v>
      </c>
    </row>
    <row r="18" spans="1:47" ht="12.75">
      <c r="A18" s="22"/>
      <c r="B18" s="23" t="s">
        <v>45</v>
      </c>
      <c r="C18" s="23" t="s">
        <v>66</v>
      </c>
      <c r="D18" s="23" t="s">
        <v>67</v>
      </c>
      <c r="E18" s="22" t="s">
        <v>3</v>
      </c>
      <c r="F18" s="22" t="s">
        <v>3</v>
      </c>
      <c r="G18" s="22" t="s">
        <v>3</v>
      </c>
      <c r="H18" s="24">
        <f>SUM(H19:H21)</f>
        <v>0</v>
      </c>
      <c r="I18" s="24">
        <f>SUM(I19:I21)</f>
        <v>0</v>
      </c>
      <c r="J18" s="24">
        <f>SUM(J19:J21)</f>
        <v>0</v>
      </c>
      <c r="K18" s="17"/>
      <c r="L18" s="24">
        <f>SUM(L19:L21)</f>
        <v>0.09917999999999999</v>
      </c>
      <c r="M18" s="17"/>
      <c r="AI18" s="17" t="s">
        <v>45</v>
      </c>
      <c r="AS18" s="24">
        <f>SUM(AJ19:AJ21)</f>
        <v>0</v>
      </c>
      <c r="AT18" s="24">
        <f>SUM(AK19:AK21)</f>
        <v>0</v>
      </c>
      <c r="AU18" s="24">
        <f>SUM(AL19:AL21)</f>
        <v>0</v>
      </c>
    </row>
    <row r="19" spans="1:62" ht="12.75">
      <c r="A19" s="2" t="s">
        <v>68</v>
      </c>
      <c r="B19" s="2" t="s">
        <v>45</v>
      </c>
      <c r="C19" s="2" t="s">
        <v>69</v>
      </c>
      <c r="D19" s="2" t="s">
        <v>70</v>
      </c>
      <c r="E19" s="2" t="s">
        <v>52</v>
      </c>
      <c r="F19" s="25">
        <v>20</v>
      </c>
      <c r="G19" s="25">
        <v>0</v>
      </c>
      <c r="H19" s="25">
        <f>F19*AO19</f>
        <v>0</v>
      </c>
      <c r="I19" s="25">
        <f>F19*AP19</f>
        <v>0</v>
      </c>
      <c r="J19" s="25">
        <f>F19*G19</f>
        <v>0</v>
      </c>
      <c r="K19" s="25">
        <v>0</v>
      </c>
      <c r="L19" s="25">
        <f>F19*K19</f>
        <v>0</v>
      </c>
      <c r="M19" s="26" t="s">
        <v>53</v>
      </c>
      <c r="Z19" s="25">
        <f>IF(AQ19="5",BJ19,0)</f>
        <v>0</v>
      </c>
      <c r="AB19" s="25">
        <f>IF(AQ19="1",BH19,0)</f>
        <v>0</v>
      </c>
      <c r="AC19" s="25">
        <f>IF(AQ19="1",BI19,0)</f>
        <v>0</v>
      </c>
      <c r="AD19" s="25">
        <f>IF(AQ19="7",BH19,0)</f>
        <v>0</v>
      </c>
      <c r="AE19" s="25">
        <f>IF(AQ19="7",BI19,0)</f>
        <v>0</v>
      </c>
      <c r="AF19" s="25">
        <f>IF(AQ19="2",BH19,0)</f>
        <v>0</v>
      </c>
      <c r="AG19" s="25">
        <f>IF(AQ19="2",BI19,0)</f>
        <v>0</v>
      </c>
      <c r="AH19" s="25">
        <f>IF(AQ19="0",BJ19,0)</f>
        <v>0</v>
      </c>
      <c r="AI19" s="17" t="s">
        <v>45</v>
      </c>
      <c r="AJ19" s="25">
        <f>IF(AN19=0,J19,0)</f>
        <v>0</v>
      </c>
      <c r="AK19" s="25">
        <f>IF(AN19=15,J19,0)</f>
        <v>0</v>
      </c>
      <c r="AL19" s="25">
        <f>IF(AN19=21,J19,0)</f>
        <v>0</v>
      </c>
      <c r="AN19" s="25">
        <v>21</v>
      </c>
      <c r="AO19" s="25">
        <f>G19*0</f>
        <v>0</v>
      </c>
      <c r="AP19" s="25">
        <f>G19*(1-0)</f>
        <v>0</v>
      </c>
      <c r="AQ19" s="26" t="s">
        <v>49</v>
      </c>
      <c r="AV19" s="25">
        <f>AW19+AX19</f>
        <v>0</v>
      </c>
      <c r="AW19" s="25">
        <f>F19*AO19</f>
        <v>0</v>
      </c>
      <c r="AX19" s="25">
        <f>F19*AP19</f>
        <v>0</v>
      </c>
      <c r="AY19" s="26" t="s">
        <v>71</v>
      </c>
      <c r="AZ19" s="26" t="s">
        <v>55</v>
      </c>
      <c r="BA19" s="17" t="s">
        <v>56</v>
      </c>
      <c r="BC19" s="25">
        <f>AW19+AX19</f>
        <v>0</v>
      </c>
      <c r="BD19" s="25">
        <f>G19/(100-BE19)*100</f>
        <v>0</v>
      </c>
      <c r="BE19" s="25">
        <v>0</v>
      </c>
      <c r="BF19" s="25">
        <f>L19</f>
        <v>0</v>
      </c>
      <c r="BH19" s="25">
        <f>F19*AO19</f>
        <v>0</v>
      </c>
      <c r="BI19" s="25">
        <f>F19*AP19</f>
        <v>0</v>
      </c>
      <c r="BJ19" s="25">
        <f>F19*G19</f>
        <v>0</v>
      </c>
    </row>
    <row r="20" spans="3:13" ht="12.75" customHeight="1">
      <c r="C20" s="27" t="s">
        <v>72</v>
      </c>
      <c r="D20" s="103" t="s">
        <v>73</v>
      </c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62" ht="12.75">
      <c r="A21" s="2" t="s">
        <v>74</v>
      </c>
      <c r="B21" s="2" t="s">
        <v>45</v>
      </c>
      <c r="C21" s="2" t="s">
        <v>75</v>
      </c>
      <c r="D21" s="2" t="s">
        <v>76</v>
      </c>
      <c r="E21" s="2" t="s">
        <v>77</v>
      </c>
      <c r="F21" s="25">
        <v>19</v>
      </c>
      <c r="G21" s="25">
        <v>0</v>
      </c>
      <c r="H21" s="25">
        <f>F21*AO21</f>
        <v>0</v>
      </c>
      <c r="I21" s="25">
        <f>F21*AP21</f>
        <v>0</v>
      </c>
      <c r="J21" s="25">
        <f>F21*G21</f>
        <v>0</v>
      </c>
      <c r="K21" s="25">
        <v>0.00522</v>
      </c>
      <c r="L21" s="25">
        <f>F21*K21</f>
        <v>0.09917999999999999</v>
      </c>
      <c r="M21" s="26" t="s">
        <v>53</v>
      </c>
      <c r="Z21" s="25">
        <f>IF(AQ21="5",BJ21,0)</f>
        <v>0</v>
      </c>
      <c r="AB21" s="25">
        <f>IF(AQ21="1",BH21,0)</f>
        <v>0</v>
      </c>
      <c r="AC21" s="25">
        <f>IF(AQ21="1",BI21,0)</f>
        <v>0</v>
      </c>
      <c r="AD21" s="25">
        <f>IF(AQ21="7",BH21,0)</f>
        <v>0</v>
      </c>
      <c r="AE21" s="25">
        <f>IF(AQ21="7",BI21,0)</f>
        <v>0</v>
      </c>
      <c r="AF21" s="25">
        <f>IF(AQ21="2",BH21,0)</f>
        <v>0</v>
      </c>
      <c r="AG21" s="25">
        <f>IF(AQ21="2",BI21,0)</f>
        <v>0</v>
      </c>
      <c r="AH21" s="25">
        <f>IF(AQ21="0",BJ21,0)</f>
        <v>0</v>
      </c>
      <c r="AI21" s="17" t="s">
        <v>45</v>
      </c>
      <c r="AJ21" s="25">
        <f>IF(AN21=0,J21,0)</f>
        <v>0</v>
      </c>
      <c r="AK21" s="25">
        <f>IF(AN21=15,J21,0)</f>
        <v>0</v>
      </c>
      <c r="AL21" s="25">
        <f>IF(AN21=21,J21,0)</f>
        <v>0</v>
      </c>
      <c r="AN21" s="25">
        <v>21</v>
      </c>
      <c r="AO21" s="25">
        <f>G21*0.00685947046843177</f>
        <v>0</v>
      </c>
      <c r="AP21" s="25">
        <f>G21*(1-0.00685947046843177)</f>
        <v>0</v>
      </c>
      <c r="AQ21" s="26" t="s">
        <v>49</v>
      </c>
      <c r="AV21" s="25">
        <f>AW21+AX21</f>
        <v>0</v>
      </c>
      <c r="AW21" s="25">
        <f>F21*AO21</f>
        <v>0</v>
      </c>
      <c r="AX21" s="25">
        <f>F21*AP21</f>
        <v>0</v>
      </c>
      <c r="AY21" s="26" t="s">
        <v>71</v>
      </c>
      <c r="AZ21" s="26" t="s">
        <v>55</v>
      </c>
      <c r="BA21" s="17" t="s">
        <v>56</v>
      </c>
      <c r="BC21" s="25">
        <f>AW21+AX21</f>
        <v>0</v>
      </c>
      <c r="BD21" s="25">
        <f>G21/(100-BE21)*100</f>
        <v>0</v>
      </c>
      <c r="BE21" s="25">
        <v>0</v>
      </c>
      <c r="BF21" s="25">
        <f>L21</f>
        <v>0.09917999999999999</v>
      </c>
      <c r="BH21" s="25">
        <f>F21*AO21</f>
        <v>0</v>
      </c>
      <c r="BI21" s="25">
        <f>F21*AP21</f>
        <v>0</v>
      </c>
      <c r="BJ21" s="25">
        <f>F21*G21</f>
        <v>0</v>
      </c>
    </row>
    <row r="22" spans="1:47" ht="12.75">
      <c r="A22" s="22"/>
      <c r="B22" s="23" t="s">
        <v>45</v>
      </c>
      <c r="C22" s="23" t="s">
        <v>78</v>
      </c>
      <c r="D22" s="23" t="s">
        <v>79</v>
      </c>
      <c r="E22" s="22" t="s">
        <v>3</v>
      </c>
      <c r="F22" s="22" t="s">
        <v>3</v>
      </c>
      <c r="G22" s="22" t="s">
        <v>3</v>
      </c>
      <c r="H22" s="24">
        <f>SUM(H23:H23)</f>
        <v>0</v>
      </c>
      <c r="I22" s="24">
        <f>SUM(I23:I23)</f>
        <v>0</v>
      </c>
      <c r="J22" s="24">
        <f>SUM(J23:J23)</f>
        <v>0</v>
      </c>
      <c r="K22" s="17"/>
      <c r="L22" s="24">
        <f>SUM(L23:L23)</f>
        <v>0</v>
      </c>
      <c r="M22" s="17"/>
      <c r="AI22" s="17" t="s">
        <v>45</v>
      </c>
      <c r="AS22" s="24">
        <f>SUM(AJ23:AJ23)</f>
        <v>0</v>
      </c>
      <c r="AT22" s="24">
        <f>SUM(AK23:AK23)</f>
        <v>0</v>
      </c>
      <c r="AU22" s="24">
        <f>SUM(AL23:AL23)</f>
        <v>0</v>
      </c>
    </row>
    <row r="23" spans="1:62" ht="12.75">
      <c r="A23" s="2" t="s">
        <v>80</v>
      </c>
      <c r="B23" s="2" t="s">
        <v>45</v>
      </c>
      <c r="C23" s="2" t="s">
        <v>81</v>
      </c>
      <c r="D23" s="2" t="s">
        <v>82</v>
      </c>
      <c r="E23" s="2" t="s">
        <v>52</v>
      </c>
      <c r="F23" s="25">
        <v>5899.75</v>
      </c>
      <c r="G23" s="25">
        <v>0</v>
      </c>
      <c r="H23" s="25">
        <f>F23*AO23</f>
        <v>0</v>
      </c>
      <c r="I23" s="25">
        <f>F23*AP23</f>
        <v>0</v>
      </c>
      <c r="J23" s="25">
        <f>F23*G23</f>
        <v>0</v>
      </c>
      <c r="K23" s="25">
        <v>0</v>
      </c>
      <c r="L23" s="25">
        <f>F23*K23</f>
        <v>0</v>
      </c>
      <c r="M23" s="26" t="s">
        <v>53</v>
      </c>
      <c r="Z23" s="25">
        <f>IF(AQ23="5",BJ23,0)</f>
        <v>0</v>
      </c>
      <c r="AB23" s="25">
        <f>IF(AQ23="1",BH23,0)</f>
        <v>0</v>
      </c>
      <c r="AC23" s="25">
        <f>IF(AQ23="1",BI23,0)</f>
        <v>0</v>
      </c>
      <c r="AD23" s="25">
        <f>IF(AQ23="7",BH23,0)</f>
        <v>0</v>
      </c>
      <c r="AE23" s="25">
        <f>IF(AQ23="7",BI23,0)</f>
        <v>0</v>
      </c>
      <c r="AF23" s="25">
        <f>IF(AQ23="2",BH23,0)</f>
        <v>0</v>
      </c>
      <c r="AG23" s="25">
        <f>IF(AQ23="2",BI23,0)</f>
        <v>0</v>
      </c>
      <c r="AH23" s="25">
        <f>IF(AQ23="0",BJ23,0)</f>
        <v>0</v>
      </c>
      <c r="AI23" s="17" t="s">
        <v>45</v>
      </c>
      <c r="AJ23" s="25">
        <f>IF(AN23=0,J23,0)</f>
        <v>0</v>
      </c>
      <c r="AK23" s="25">
        <f>IF(AN23=15,J23,0)</f>
        <v>0</v>
      </c>
      <c r="AL23" s="25">
        <f>IF(AN23=21,J23,0)</f>
        <v>0</v>
      </c>
      <c r="AN23" s="25">
        <v>21</v>
      </c>
      <c r="AO23" s="25">
        <f>G23*0</f>
        <v>0</v>
      </c>
      <c r="AP23" s="25">
        <f>G23*(1-0)</f>
        <v>0</v>
      </c>
      <c r="AQ23" s="26" t="s">
        <v>49</v>
      </c>
      <c r="AV23" s="25">
        <f>AW23+AX23</f>
        <v>0</v>
      </c>
      <c r="AW23" s="25">
        <f>F23*AO23</f>
        <v>0</v>
      </c>
      <c r="AX23" s="25">
        <f>F23*AP23</f>
        <v>0</v>
      </c>
      <c r="AY23" s="26" t="s">
        <v>83</v>
      </c>
      <c r="AZ23" s="26" t="s">
        <v>55</v>
      </c>
      <c r="BA23" s="17" t="s">
        <v>56</v>
      </c>
      <c r="BC23" s="25">
        <f>AW23+AX23</f>
        <v>0</v>
      </c>
      <c r="BD23" s="25">
        <f>G23/(100-BE23)*100</f>
        <v>0</v>
      </c>
      <c r="BE23" s="25">
        <v>0</v>
      </c>
      <c r="BF23" s="25">
        <f>L23</f>
        <v>0</v>
      </c>
      <c r="BH23" s="25">
        <f>F23*AO23</f>
        <v>0</v>
      </c>
      <c r="BI23" s="25">
        <f>F23*AP23</f>
        <v>0</v>
      </c>
      <c r="BJ23" s="25">
        <f>F23*G23</f>
        <v>0</v>
      </c>
    </row>
    <row r="24" spans="1:47" ht="12.75">
      <c r="A24" s="22"/>
      <c r="B24" s="23" t="s">
        <v>45</v>
      </c>
      <c r="C24" s="23" t="s">
        <v>84</v>
      </c>
      <c r="D24" s="23" t="s">
        <v>85</v>
      </c>
      <c r="E24" s="22" t="s">
        <v>3</v>
      </c>
      <c r="F24" s="22" t="s">
        <v>3</v>
      </c>
      <c r="G24" s="22" t="s">
        <v>3</v>
      </c>
      <c r="H24" s="24">
        <f>SUM(H25:H25)</f>
        <v>0</v>
      </c>
      <c r="I24" s="24">
        <f>SUM(I25:I25)</f>
        <v>0</v>
      </c>
      <c r="J24" s="24">
        <f>SUM(J25:J25)</f>
        <v>0</v>
      </c>
      <c r="K24" s="17"/>
      <c r="L24" s="24">
        <f>SUM(L25:L25)</f>
        <v>0</v>
      </c>
      <c r="M24" s="17"/>
      <c r="AI24" s="17" t="s">
        <v>45</v>
      </c>
      <c r="AS24" s="24">
        <f>SUM(AJ25:AJ25)</f>
        <v>0</v>
      </c>
      <c r="AT24" s="24">
        <f>SUM(AK25:AK25)</f>
        <v>0</v>
      </c>
      <c r="AU24" s="24">
        <f>SUM(AL25:AL25)</f>
        <v>0</v>
      </c>
    </row>
    <row r="25" spans="1:62" ht="12.75">
      <c r="A25" s="2" t="s">
        <v>86</v>
      </c>
      <c r="B25" s="2" t="s">
        <v>45</v>
      </c>
      <c r="C25" s="2" t="s">
        <v>87</v>
      </c>
      <c r="D25" s="2" t="s">
        <v>88</v>
      </c>
      <c r="E25" s="2" t="s">
        <v>89</v>
      </c>
      <c r="F25" s="25">
        <v>10840</v>
      </c>
      <c r="G25" s="25">
        <v>0</v>
      </c>
      <c r="H25" s="25">
        <f>F25*AO25</f>
        <v>0</v>
      </c>
      <c r="I25" s="25">
        <f>F25*AP25</f>
        <v>0</v>
      </c>
      <c r="J25" s="25">
        <f>F25*G25</f>
        <v>0</v>
      </c>
      <c r="K25" s="25">
        <v>0</v>
      </c>
      <c r="L25" s="25">
        <f>F25*K25</f>
        <v>0</v>
      </c>
      <c r="M25" s="26" t="s">
        <v>53</v>
      </c>
      <c r="Z25" s="25">
        <f>IF(AQ25="5",BJ25,0)</f>
        <v>0</v>
      </c>
      <c r="AB25" s="25">
        <f>IF(AQ25="1",BH25,0)</f>
        <v>0</v>
      </c>
      <c r="AC25" s="25">
        <f>IF(AQ25="1",BI25,0)</f>
        <v>0</v>
      </c>
      <c r="AD25" s="25">
        <f>IF(AQ25="7",BH25,0)</f>
        <v>0</v>
      </c>
      <c r="AE25" s="25">
        <f>IF(AQ25="7",BI25,0)</f>
        <v>0</v>
      </c>
      <c r="AF25" s="25">
        <f>IF(AQ25="2",BH25,0)</f>
        <v>0</v>
      </c>
      <c r="AG25" s="25">
        <f>IF(AQ25="2",BI25,0)</f>
        <v>0</v>
      </c>
      <c r="AH25" s="25">
        <f>IF(AQ25="0",BJ25,0)</f>
        <v>0</v>
      </c>
      <c r="AI25" s="17" t="s">
        <v>45</v>
      </c>
      <c r="AJ25" s="25">
        <f>IF(AN25=0,J25,0)</f>
        <v>0</v>
      </c>
      <c r="AK25" s="25">
        <f>IF(AN25=15,J25,0)</f>
        <v>0</v>
      </c>
      <c r="AL25" s="25">
        <f>IF(AN25=21,J25,0)</f>
        <v>0</v>
      </c>
      <c r="AN25" s="25">
        <v>21</v>
      </c>
      <c r="AO25" s="25">
        <f>G25*0</f>
        <v>0</v>
      </c>
      <c r="AP25" s="25">
        <f>G25*(1-0)</f>
        <v>0</v>
      </c>
      <c r="AQ25" s="26" t="s">
        <v>49</v>
      </c>
      <c r="AV25" s="25">
        <f>AW25+AX25</f>
        <v>0</v>
      </c>
      <c r="AW25" s="25">
        <f>F25*AO25</f>
        <v>0</v>
      </c>
      <c r="AX25" s="25">
        <f>F25*AP25</f>
        <v>0</v>
      </c>
      <c r="AY25" s="26" t="s">
        <v>90</v>
      </c>
      <c r="AZ25" s="26" t="s">
        <v>55</v>
      </c>
      <c r="BA25" s="17" t="s">
        <v>56</v>
      </c>
      <c r="BC25" s="25">
        <f>AW25+AX25</f>
        <v>0</v>
      </c>
      <c r="BD25" s="25">
        <f>G25/(100-BE25)*100</f>
        <v>0</v>
      </c>
      <c r="BE25" s="25">
        <v>0</v>
      </c>
      <c r="BF25" s="25">
        <f>L25</f>
        <v>0</v>
      </c>
      <c r="BH25" s="25">
        <f>F25*AO25</f>
        <v>0</v>
      </c>
      <c r="BI25" s="25">
        <f>F25*AP25</f>
        <v>0</v>
      </c>
      <c r="BJ25" s="25">
        <f>F25*G25</f>
        <v>0</v>
      </c>
    </row>
    <row r="26" spans="1:47" ht="12.75">
      <c r="A26" s="22"/>
      <c r="B26" s="23" t="s">
        <v>45</v>
      </c>
      <c r="C26" s="23" t="s">
        <v>91</v>
      </c>
      <c r="D26" s="23" t="s">
        <v>92</v>
      </c>
      <c r="E26" s="22" t="s">
        <v>3</v>
      </c>
      <c r="F26" s="22" t="s">
        <v>3</v>
      </c>
      <c r="G26" s="22" t="s">
        <v>3</v>
      </c>
      <c r="H26" s="24">
        <f>SUM(H27:H29)</f>
        <v>0</v>
      </c>
      <c r="I26" s="24">
        <f>SUM(I27:I29)</f>
        <v>0</v>
      </c>
      <c r="J26" s="24">
        <f>SUM(J27:J29)</f>
        <v>0</v>
      </c>
      <c r="K26" s="17"/>
      <c r="L26" s="24">
        <f>SUM(L27:L29)</f>
        <v>1728.0496</v>
      </c>
      <c r="M26" s="17"/>
      <c r="AI26" s="17" t="s">
        <v>45</v>
      </c>
      <c r="AS26" s="24">
        <f>SUM(AJ27:AJ29)</f>
        <v>0</v>
      </c>
      <c r="AT26" s="24">
        <f>SUM(AK27:AK29)</f>
        <v>0</v>
      </c>
      <c r="AU26" s="24">
        <f>SUM(AL27:AL29)</f>
        <v>0</v>
      </c>
    </row>
    <row r="27" spans="1:62" ht="12.75">
      <c r="A27" s="2" t="s">
        <v>93</v>
      </c>
      <c r="B27" s="2" t="s">
        <v>45</v>
      </c>
      <c r="C27" s="2" t="s">
        <v>94</v>
      </c>
      <c r="D27" s="2" t="s">
        <v>95</v>
      </c>
      <c r="E27" s="2" t="s">
        <v>52</v>
      </c>
      <c r="F27" s="25">
        <v>60</v>
      </c>
      <c r="G27" s="25">
        <v>0</v>
      </c>
      <c r="H27" s="25">
        <f>F27*AO27</f>
        <v>0</v>
      </c>
      <c r="I27" s="25">
        <f>F27*AP27</f>
        <v>0</v>
      </c>
      <c r="J27" s="25">
        <f>F27*G27</f>
        <v>0</v>
      </c>
      <c r="K27" s="25">
        <v>1.63</v>
      </c>
      <c r="L27" s="25">
        <f>F27*K27</f>
        <v>97.8</v>
      </c>
      <c r="M27" s="26" t="s">
        <v>53</v>
      </c>
      <c r="Z27" s="25">
        <f>IF(AQ27="5",BJ27,0)</f>
        <v>0</v>
      </c>
      <c r="AB27" s="25">
        <f>IF(AQ27="1",BH27,0)</f>
        <v>0</v>
      </c>
      <c r="AC27" s="25">
        <f>IF(AQ27="1",BI27,0)</f>
        <v>0</v>
      </c>
      <c r="AD27" s="25">
        <f>IF(AQ27="7",BH27,0)</f>
        <v>0</v>
      </c>
      <c r="AE27" s="25">
        <f>IF(AQ27="7",BI27,0)</f>
        <v>0</v>
      </c>
      <c r="AF27" s="25">
        <f>IF(AQ27="2",BH27,0)</f>
        <v>0</v>
      </c>
      <c r="AG27" s="25">
        <f>IF(AQ27="2",BI27,0)</f>
        <v>0</v>
      </c>
      <c r="AH27" s="25">
        <f>IF(AQ27="0",BJ27,0)</f>
        <v>0</v>
      </c>
      <c r="AI27" s="17" t="s">
        <v>45</v>
      </c>
      <c r="AJ27" s="25">
        <f>IF(AN27=0,J27,0)</f>
        <v>0</v>
      </c>
      <c r="AK27" s="25">
        <f>IF(AN27=15,J27,0)</f>
        <v>0</v>
      </c>
      <c r="AL27" s="25">
        <f>IF(AN27=21,J27,0)</f>
        <v>0</v>
      </c>
      <c r="AN27" s="25">
        <v>21</v>
      </c>
      <c r="AO27" s="25">
        <f>G27*0.614965104685942</f>
        <v>0</v>
      </c>
      <c r="AP27" s="25">
        <f>G27*(1-0.614965104685942)</f>
        <v>0</v>
      </c>
      <c r="AQ27" s="26" t="s">
        <v>49</v>
      </c>
      <c r="AV27" s="25">
        <f>AW27+AX27</f>
        <v>0</v>
      </c>
      <c r="AW27" s="25">
        <f>F27*AO27</f>
        <v>0</v>
      </c>
      <c r="AX27" s="25">
        <f>F27*AP27</f>
        <v>0</v>
      </c>
      <c r="AY27" s="26" t="s">
        <v>96</v>
      </c>
      <c r="AZ27" s="26" t="s">
        <v>97</v>
      </c>
      <c r="BA27" s="17" t="s">
        <v>56</v>
      </c>
      <c r="BC27" s="25">
        <f>AW27+AX27</f>
        <v>0</v>
      </c>
      <c r="BD27" s="25">
        <f>G27/(100-BE27)*100</f>
        <v>0</v>
      </c>
      <c r="BE27" s="25">
        <v>0</v>
      </c>
      <c r="BF27" s="25">
        <f>L27</f>
        <v>97.8</v>
      </c>
      <c r="BH27" s="25">
        <f>F27*AO27</f>
        <v>0</v>
      </c>
      <c r="BI27" s="25">
        <f>F27*AP27</f>
        <v>0</v>
      </c>
      <c r="BJ27" s="25">
        <f>F27*G27</f>
        <v>0</v>
      </c>
    </row>
    <row r="28" spans="1:62" ht="12.75">
      <c r="A28" s="2" t="s">
        <v>98</v>
      </c>
      <c r="B28" s="2" t="s">
        <v>45</v>
      </c>
      <c r="C28" s="2" t="s">
        <v>99</v>
      </c>
      <c r="D28" s="2" t="s">
        <v>100</v>
      </c>
      <c r="E28" s="2" t="s">
        <v>89</v>
      </c>
      <c r="F28" s="25">
        <v>780</v>
      </c>
      <c r="G28" s="25">
        <v>0</v>
      </c>
      <c r="H28" s="25">
        <f>F28*AO28</f>
        <v>0</v>
      </c>
      <c r="I28" s="25">
        <f>F28*AP28</f>
        <v>0</v>
      </c>
      <c r="J28" s="25">
        <f>F28*G28</f>
        <v>0</v>
      </c>
      <c r="K28" s="25">
        <v>0.00032</v>
      </c>
      <c r="L28" s="25">
        <f>F28*K28</f>
        <v>0.24960000000000002</v>
      </c>
      <c r="M28" s="26" t="s">
        <v>53</v>
      </c>
      <c r="Z28" s="25">
        <f>IF(AQ28="5",BJ28,0)</f>
        <v>0</v>
      </c>
      <c r="AB28" s="25">
        <f>IF(AQ28="1",BH28,0)</f>
        <v>0</v>
      </c>
      <c r="AC28" s="25">
        <f>IF(AQ28="1",BI28,0)</f>
        <v>0</v>
      </c>
      <c r="AD28" s="25">
        <f>IF(AQ28="7",BH28,0)</f>
        <v>0</v>
      </c>
      <c r="AE28" s="25">
        <f>IF(AQ28="7",BI28,0)</f>
        <v>0</v>
      </c>
      <c r="AF28" s="25">
        <f>IF(AQ28="2",BH28,0)</f>
        <v>0</v>
      </c>
      <c r="AG28" s="25">
        <f>IF(AQ28="2",BI28,0)</f>
        <v>0</v>
      </c>
      <c r="AH28" s="25">
        <f>IF(AQ28="0",BJ28,0)</f>
        <v>0</v>
      </c>
      <c r="AI28" s="17" t="s">
        <v>45</v>
      </c>
      <c r="AJ28" s="25">
        <f>IF(AN28=0,J28,0)</f>
        <v>0</v>
      </c>
      <c r="AK28" s="25">
        <f>IF(AN28=15,J28,0)</f>
        <v>0</v>
      </c>
      <c r="AL28" s="25">
        <f>IF(AN28=21,J28,0)</f>
        <v>0</v>
      </c>
      <c r="AN28" s="25">
        <v>21</v>
      </c>
      <c r="AO28" s="25">
        <f>G28*0.126323030531474</f>
        <v>0</v>
      </c>
      <c r="AP28" s="25">
        <f>G28*(1-0.126323030531474)</f>
        <v>0</v>
      </c>
      <c r="AQ28" s="26" t="s">
        <v>49</v>
      </c>
      <c r="AV28" s="25">
        <f>AW28+AX28</f>
        <v>0</v>
      </c>
      <c r="AW28" s="25">
        <f>F28*AO28</f>
        <v>0</v>
      </c>
      <c r="AX28" s="25">
        <f>F28*AP28</f>
        <v>0</v>
      </c>
      <c r="AY28" s="26" t="s">
        <v>96</v>
      </c>
      <c r="AZ28" s="26" t="s">
        <v>97</v>
      </c>
      <c r="BA28" s="17" t="s">
        <v>56</v>
      </c>
      <c r="BC28" s="25">
        <f>AW28+AX28</f>
        <v>0</v>
      </c>
      <c r="BD28" s="25">
        <f>G28/(100-BE28)*100</f>
        <v>0</v>
      </c>
      <c r="BE28" s="25">
        <v>0</v>
      </c>
      <c r="BF28" s="25">
        <f>L28</f>
        <v>0.24960000000000002</v>
      </c>
      <c r="BH28" s="25">
        <f>F28*AO28</f>
        <v>0</v>
      </c>
      <c r="BI28" s="25">
        <f>F28*AP28</f>
        <v>0</v>
      </c>
      <c r="BJ28" s="25">
        <f>F28*G28</f>
        <v>0</v>
      </c>
    </row>
    <row r="29" spans="1:62" ht="12.75">
      <c r="A29" s="2" t="s">
        <v>101</v>
      </c>
      <c r="B29" s="2" t="s">
        <v>45</v>
      </c>
      <c r="C29" s="2" t="s">
        <v>102</v>
      </c>
      <c r="D29" s="2" t="s">
        <v>103</v>
      </c>
      <c r="E29" s="2" t="s">
        <v>52</v>
      </c>
      <c r="F29" s="25">
        <v>1000</v>
      </c>
      <c r="G29" s="25">
        <v>0</v>
      </c>
      <c r="H29" s="25">
        <f>F29*AO29</f>
        <v>0</v>
      </c>
      <c r="I29" s="25">
        <f>F29*AP29</f>
        <v>0</v>
      </c>
      <c r="J29" s="25">
        <f>F29*G29</f>
        <v>0</v>
      </c>
      <c r="K29" s="25">
        <v>1.63</v>
      </c>
      <c r="L29" s="25">
        <f>F29*K29</f>
        <v>1630</v>
      </c>
      <c r="M29" s="26" t="s">
        <v>53</v>
      </c>
      <c r="Z29" s="25">
        <f>IF(AQ29="5",BJ29,0)</f>
        <v>0</v>
      </c>
      <c r="AB29" s="25">
        <f>IF(AQ29="1",BH29,0)</f>
        <v>0</v>
      </c>
      <c r="AC29" s="25">
        <f>IF(AQ29="1",BI29,0)</f>
        <v>0</v>
      </c>
      <c r="AD29" s="25">
        <f>IF(AQ29="7",BH29,0)</f>
        <v>0</v>
      </c>
      <c r="AE29" s="25">
        <f>IF(AQ29="7",BI29,0)</f>
        <v>0</v>
      </c>
      <c r="AF29" s="25">
        <f>IF(AQ29="2",BH29,0)</f>
        <v>0</v>
      </c>
      <c r="AG29" s="25">
        <f>IF(AQ29="2",BI29,0)</f>
        <v>0</v>
      </c>
      <c r="AH29" s="25">
        <f>IF(AQ29="0",BJ29,0)</f>
        <v>0</v>
      </c>
      <c r="AI29" s="17" t="s">
        <v>45</v>
      </c>
      <c r="AJ29" s="25">
        <f>IF(AN29=0,J29,0)</f>
        <v>0</v>
      </c>
      <c r="AK29" s="25">
        <f>IF(AN29=15,J29,0)</f>
        <v>0</v>
      </c>
      <c r="AL29" s="25">
        <f>IF(AN29=21,J29,0)</f>
        <v>0</v>
      </c>
      <c r="AN29" s="25">
        <v>21</v>
      </c>
      <c r="AO29" s="25">
        <f>G29*0.661296472831268</f>
        <v>0</v>
      </c>
      <c r="AP29" s="25">
        <f>G29*(1-0.661296472831268)</f>
        <v>0</v>
      </c>
      <c r="AQ29" s="26" t="s">
        <v>49</v>
      </c>
      <c r="AV29" s="25">
        <f>AW29+AX29</f>
        <v>0</v>
      </c>
      <c r="AW29" s="25">
        <f>F29*AO29</f>
        <v>0</v>
      </c>
      <c r="AX29" s="25">
        <f>F29*AP29</f>
        <v>0</v>
      </c>
      <c r="AY29" s="26" t="s">
        <v>96</v>
      </c>
      <c r="AZ29" s="26" t="s">
        <v>97</v>
      </c>
      <c r="BA29" s="17" t="s">
        <v>56</v>
      </c>
      <c r="BC29" s="25">
        <f>AW29+AX29</f>
        <v>0</v>
      </c>
      <c r="BD29" s="25">
        <f>G29/(100-BE29)*100</f>
        <v>0</v>
      </c>
      <c r="BE29" s="25">
        <v>0</v>
      </c>
      <c r="BF29" s="25">
        <f>L29</f>
        <v>1630</v>
      </c>
      <c r="BH29" s="25">
        <f>F29*AO29</f>
        <v>0</v>
      </c>
      <c r="BI29" s="25">
        <f>F29*AP29</f>
        <v>0</v>
      </c>
      <c r="BJ29" s="25">
        <f>F29*G29</f>
        <v>0</v>
      </c>
    </row>
    <row r="30" spans="1:47" ht="12.75">
      <c r="A30" s="22"/>
      <c r="B30" s="23" t="s">
        <v>45</v>
      </c>
      <c r="C30" s="23" t="s">
        <v>104</v>
      </c>
      <c r="D30" s="23" t="s">
        <v>105</v>
      </c>
      <c r="E30" s="22" t="s">
        <v>3</v>
      </c>
      <c r="F30" s="22" t="s">
        <v>3</v>
      </c>
      <c r="G30" s="22" t="s">
        <v>3</v>
      </c>
      <c r="H30" s="24">
        <f>SUM(H31:H40)</f>
        <v>0</v>
      </c>
      <c r="I30" s="24">
        <f>SUM(I31:I40)</f>
        <v>0</v>
      </c>
      <c r="J30" s="24">
        <f>SUM(J31:J40)</f>
        <v>0</v>
      </c>
      <c r="K30" s="17"/>
      <c r="L30" s="24">
        <f>SUM(L31:L40)</f>
        <v>7478.2485</v>
      </c>
      <c r="M30" s="17"/>
      <c r="AI30" s="17" t="s">
        <v>45</v>
      </c>
      <c r="AS30" s="24">
        <f>SUM(AJ31:AJ40)</f>
        <v>0</v>
      </c>
      <c r="AT30" s="24">
        <f>SUM(AK31:AK40)</f>
        <v>0</v>
      </c>
      <c r="AU30" s="24">
        <f>SUM(AL31:AL40)</f>
        <v>0</v>
      </c>
    </row>
    <row r="31" spans="1:62" ht="12.75">
      <c r="A31" s="2" t="s">
        <v>106</v>
      </c>
      <c r="B31" s="2" t="s">
        <v>45</v>
      </c>
      <c r="C31" s="2" t="s">
        <v>107</v>
      </c>
      <c r="D31" s="2" t="s">
        <v>108</v>
      </c>
      <c r="E31" s="2" t="s">
        <v>89</v>
      </c>
      <c r="F31" s="25">
        <v>1116</v>
      </c>
      <c r="G31" s="25">
        <v>0</v>
      </c>
      <c r="H31" s="25">
        <f>F31*AO31</f>
        <v>0</v>
      </c>
      <c r="I31" s="25">
        <f>F31*AP31</f>
        <v>0</v>
      </c>
      <c r="J31" s="25">
        <f>F31*G31</f>
        <v>0</v>
      </c>
      <c r="K31" s="25">
        <v>0.126</v>
      </c>
      <c r="L31" s="25">
        <f>F31*K31</f>
        <v>140.616</v>
      </c>
      <c r="M31" s="26" t="s">
        <v>53</v>
      </c>
      <c r="Z31" s="25">
        <f>IF(AQ31="5",BJ31,0)</f>
        <v>0</v>
      </c>
      <c r="AB31" s="25">
        <f>IF(AQ31="1",BH31,0)</f>
        <v>0</v>
      </c>
      <c r="AC31" s="25">
        <f>IF(AQ31="1",BI31,0)</f>
        <v>0</v>
      </c>
      <c r="AD31" s="25">
        <f>IF(AQ31="7",BH31,0)</f>
        <v>0</v>
      </c>
      <c r="AE31" s="25">
        <f>IF(AQ31="7",BI31,0)</f>
        <v>0</v>
      </c>
      <c r="AF31" s="25">
        <f>IF(AQ31="2",BH31,0)</f>
        <v>0</v>
      </c>
      <c r="AG31" s="25">
        <f>IF(AQ31="2",BI31,0)</f>
        <v>0</v>
      </c>
      <c r="AH31" s="25">
        <f>IF(AQ31="0",BJ31,0)</f>
        <v>0</v>
      </c>
      <c r="AI31" s="17" t="s">
        <v>45</v>
      </c>
      <c r="AJ31" s="25">
        <f>IF(AN31=0,J31,0)</f>
        <v>0</v>
      </c>
      <c r="AK31" s="25">
        <f>IF(AN31=15,J31,0)</f>
        <v>0</v>
      </c>
      <c r="AL31" s="25">
        <f>IF(AN31=21,J31,0)</f>
        <v>0</v>
      </c>
      <c r="AN31" s="25">
        <v>21</v>
      </c>
      <c r="AO31" s="25">
        <f>G31*0.722253521126761</f>
        <v>0</v>
      </c>
      <c r="AP31" s="25">
        <f>G31*(1-0.722253521126761)</f>
        <v>0</v>
      </c>
      <c r="AQ31" s="26" t="s">
        <v>49</v>
      </c>
      <c r="AV31" s="25">
        <f>AW31+AX31</f>
        <v>0</v>
      </c>
      <c r="AW31" s="25">
        <f>F31*AO31</f>
        <v>0</v>
      </c>
      <c r="AX31" s="25">
        <f>F31*AP31</f>
        <v>0</v>
      </c>
      <c r="AY31" s="26" t="s">
        <v>109</v>
      </c>
      <c r="AZ31" s="26" t="s">
        <v>110</v>
      </c>
      <c r="BA31" s="17" t="s">
        <v>56</v>
      </c>
      <c r="BC31" s="25">
        <f>AW31+AX31</f>
        <v>0</v>
      </c>
      <c r="BD31" s="25">
        <f>G31/(100-BE31)*100</f>
        <v>0</v>
      </c>
      <c r="BE31" s="25">
        <v>0</v>
      </c>
      <c r="BF31" s="25">
        <f>L31</f>
        <v>140.616</v>
      </c>
      <c r="BH31" s="25">
        <f>F31*AO31</f>
        <v>0</v>
      </c>
      <c r="BI31" s="25">
        <f>F31*AP31</f>
        <v>0</v>
      </c>
      <c r="BJ31" s="25">
        <f>F31*G31</f>
        <v>0</v>
      </c>
    </row>
    <row r="32" spans="3:13" ht="12.75" customHeight="1">
      <c r="C32" s="27" t="s">
        <v>72</v>
      </c>
      <c r="D32" s="103" t="s">
        <v>111</v>
      </c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62" ht="12.75">
      <c r="A33" s="2" t="s">
        <v>47</v>
      </c>
      <c r="B33" s="2" t="s">
        <v>45</v>
      </c>
      <c r="C33" s="2" t="s">
        <v>112</v>
      </c>
      <c r="D33" s="2" t="s">
        <v>108</v>
      </c>
      <c r="E33" s="2" t="s">
        <v>89</v>
      </c>
      <c r="F33" s="25">
        <v>1115</v>
      </c>
      <c r="G33" s="25">
        <v>0</v>
      </c>
      <c r="H33" s="25">
        <f>F33*AO33</f>
        <v>0</v>
      </c>
      <c r="I33" s="25">
        <f>F33*AP33</f>
        <v>0</v>
      </c>
      <c r="J33" s="25">
        <f>F33*G33</f>
        <v>0</v>
      </c>
      <c r="K33" s="25">
        <v>0.126</v>
      </c>
      <c r="L33" s="25">
        <f>F33*K33</f>
        <v>140.49</v>
      </c>
      <c r="M33" s="26" t="s">
        <v>53</v>
      </c>
      <c r="Z33" s="25">
        <f>IF(AQ33="5",BJ33,0)</f>
        <v>0</v>
      </c>
      <c r="AB33" s="25">
        <f>IF(AQ33="1",BH33,0)</f>
        <v>0</v>
      </c>
      <c r="AC33" s="25">
        <f>IF(AQ33="1",BI33,0)</f>
        <v>0</v>
      </c>
      <c r="AD33" s="25">
        <f>IF(AQ33="7",BH33,0)</f>
        <v>0</v>
      </c>
      <c r="AE33" s="25">
        <f>IF(AQ33="7",BI33,0)</f>
        <v>0</v>
      </c>
      <c r="AF33" s="25">
        <f>IF(AQ33="2",BH33,0)</f>
        <v>0</v>
      </c>
      <c r="AG33" s="25">
        <f>IF(AQ33="2",BI33,0)</f>
        <v>0</v>
      </c>
      <c r="AH33" s="25">
        <f>IF(AQ33="0",BJ33,0)</f>
        <v>0</v>
      </c>
      <c r="AI33" s="17" t="s">
        <v>45</v>
      </c>
      <c r="AJ33" s="25">
        <f>IF(AN33=0,J33,0)</f>
        <v>0</v>
      </c>
      <c r="AK33" s="25">
        <f>IF(AN33=15,J33,0)</f>
        <v>0</v>
      </c>
      <c r="AL33" s="25">
        <f>IF(AN33=21,J33,0)</f>
        <v>0</v>
      </c>
      <c r="AN33" s="25">
        <v>21</v>
      </c>
      <c r="AO33" s="25">
        <f>G33*0.722151898734177</f>
        <v>0</v>
      </c>
      <c r="AP33" s="25">
        <f>G33*(1-0.722151898734177)</f>
        <v>0</v>
      </c>
      <c r="AQ33" s="26" t="s">
        <v>49</v>
      </c>
      <c r="AV33" s="25">
        <f>AW33+AX33</f>
        <v>0</v>
      </c>
      <c r="AW33" s="25">
        <f>F33*AO33</f>
        <v>0</v>
      </c>
      <c r="AX33" s="25">
        <f>F33*AP33</f>
        <v>0</v>
      </c>
      <c r="AY33" s="26" t="s">
        <v>109</v>
      </c>
      <c r="AZ33" s="26" t="s">
        <v>110</v>
      </c>
      <c r="BA33" s="17" t="s">
        <v>56</v>
      </c>
      <c r="BC33" s="25">
        <f>AW33+AX33</f>
        <v>0</v>
      </c>
      <c r="BD33" s="25">
        <f>G33/(100-BE33)*100</f>
        <v>0</v>
      </c>
      <c r="BE33" s="25">
        <v>0</v>
      </c>
      <c r="BF33" s="25">
        <f>L33</f>
        <v>140.49</v>
      </c>
      <c r="BH33" s="25">
        <f>F33*AO33</f>
        <v>0</v>
      </c>
      <c r="BI33" s="25">
        <f>F33*AP33</f>
        <v>0</v>
      </c>
      <c r="BJ33" s="25">
        <f>F33*G33</f>
        <v>0</v>
      </c>
    </row>
    <row r="34" spans="3:13" ht="12.75" customHeight="1">
      <c r="C34" s="27" t="s">
        <v>72</v>
      </c>
      <c r="D34" s="103" t="s">
        <v>113</v>
      </c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62" ht="12.75">
      <c r="A35" s="2" t="s">
        <v>57</v>
      </c>
      <c r="B35" s="2" t="s">
        <v>45</v>
      </c>
      <c r="C35" s="2" t="s">
        <v>114</v>
      </c>
      <c r="D35" s="2" t="s">
        <v>115</v>
      </c>
      <c r="E35" s="2" t="s">
        <v>89</v>
      </c>
      <c r="F35" s="25">
        <v>4467.5</v>
      </c>
      <c r="G35" s="25">
        <v>0</v>
      </c>
      <c r="H35" s="25">
        <f>F35*AO35</f>
        <v>0</v>
      </c>
      <c r="I35" s="25">
        <f>F35*AP35</f>
        <v>0</v>
      </c>
      <c r="J35" s="25">
        <f>F35*G35</f>
        <v>0</v>
      </c>
      <c r="K35" s="25">
        <v>0.288</v>
      </c>
      <c r="L35" s="25">
        <f>F35*K35</f>
        <v>1286.6399999999999</v>
      </c>
      <c r="M35" s="26" t="s">
        <v>53</v>
      </c>
      <c r="Z35" s="25">
        <f>IF(AQ35="5",BJ35,0)</f>
        <v>0</v>
      </c>
      <c r="AB35" s="25">
        <f>IF(AQ35="1",BH35,0)</f>
        <v>0</v>
      </c>
      <c r="AC35" s="25">
        <f>IF(AQ35="1",BI35,0)</f>
        <v>0</v>
      </c>
      <c r="AD35" s="25">
        <f>IF(AQ35="7",BH35,0)</f>
        <v>0</v>
      </c>
      <c r="AE35" s="25">
        <f>IF(AQ35="7",BI35,0)</f>
        <v>0</v>
      </c>
      <c r="AF35" s="25">
        <f>IF(AQ35="2",BH35,0)</f>
        <v>0</v>
      </c>
      <c r="AG35" s="25">
        <f>IF(AQ35="2",BI35,0)</f>
        <v>0</v>
      </c>
      <c r="AH35" s="25">
        <f>IF(AQ35="0",BJ35,0)</f>
        <v>0</v>
      </c>
      <c r="AI35" s="17" t="s">
        <v>45</v>
      </c>
      <c r="AJ35" s="25">
        <f>IF(AN35=0,J35,0)</f>
        <v>0</v>
      </c>
      <c r="AK35" s="25">
        <f>IF(AN35=15,J35,0)</f>
        <v>0</v>
      </c>
      <c r="AL35" s="25">
        <f>IF(AN35=21,J35,0)</f>
        <v>0</v>
      </c>
      <c r="AN35" s="25">
        <v>21</v>
      </c>
      <c r="AO35" s="25">
        <f>G35*0.85046463983396</f>
        <v>0</v>
      </c>
      <c r="AP35" s="25">
        <f>G35*(1-0.85046463983396)</f>
        <v>0</v>
      </c>
      <c r="AQ35" s="26" t="s">
        <v>49</v>
      </c>
      <c r="AV35" s="25">
        <f>AW35+AX35</f>
        <v>0</v>
      </c>
      <c r="AW35" s="25">
        <f>F35*AO35</f>
        <v>0</v>
      </c>
      <c r="AX35" s="25">
        <f>F35*AP35</f>
        <v>0</v>
      </c>
      <c r="AY35" s="26" t="s">
        <v>109</v>
      </c>
      <c r="AZ35" s="26" t="s">
        <v>110</v>
      </c>
      <c r="BA35" s="17" t="s">
        <v>56</v>
      </c>
      <c r="BC35" s="25">
        <f>AW35+AX35</f>
        <v>0</v>
      </c>
      <c r="BD35" s="25">
        <f>G35/(100-BE35)*100</f>
        <v>0</v>
      </c>
      <c r="BE35" s="25">
        <v>0</v>
      </c>
      <c r="BF35" s="25">
        <f>L35</f>
        <v>1286.6399999999999</v>
      </c>
      <c r="BH35" s="25">
        <f>F35*AO35</f>
        <v>0</v>
      </c>
      <c r="BI35" s="25">
        <f>F35*AP35</f>
        <v>0</v>
      </c>
      <c r="BJ35" s="25">
        <f>F35*G35</f>
        <v>0</v>
      </c>
    </row>
    <row r="36" spans="3:13" ht="12.75" customHeight="1">
      <c r="C36" s="27" t="s">
        <v>72</v>
      </c>
      <c r="D36" s="103" t="s">
        <v>116</v>
      </c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62" ht="12.75">
      <c r="A37" s="2" t="s">
        <v>66</v>
      </c>
      <c r="B37" s="2" t="s">
        <v>45</v>
      </c>
      <c r="C37" s="2" t="s">
        <v>117</v>
      </c>
      <c r="D37" s="2" t="s">
        <v>118</v>
      </c>
      <c r="E37" s="2" t="s">
        <v>89</v>
      </c>
      <c r="F37" s="25">
        <v>13402.5</v>
      </c>
      <c r="G37" s="25">
        <v>0</v>
      </c>
      <c r="H37" s="25">
        <f>F37*AO37</f>
        <v>0</v>
      </c>
      <c r="I37" s="25">
        <f>F37*AP37</f>
        <v>0</v>
      </c>
      <c r="J37" s="25">
        <f>F37*G37</f>
        <v>0</v>
      </c>
      <c r="K37" s="25">
        <v>0.441</v>
      </c>
      <c r="L37" s="25">
        <f>F37*K37</f>
        <v>5910.5025</v>
      </c>
      <c r="M37" s="26" t="s">
        <v>53</v>
      </c>
      <c r="Z37" s="25">
        <f>IF(AQ37="5",BJ37,0)</f>
        <v>0</v>
      </c>
      <c r="AB37" s="25">
        <f>IF(AQ37="1",BH37,0)</f>
        <v>0</v>
      </c>
      <c r="AC37" s="25">
        <f>IF(AQ37="1",BI37,0)</f>
        <v>0</v>
      </c>
      <c r="AD37" s="25">
        <f>IF(AQ37="7",BH37,0)</f>
        <v>0</v>
      </c>
      <c r="AE37" s="25">
        <f>IF(AQ37="7",BI37,0)</f>
        <v>0</v>
      </c>
      <c r="AF37" s="25">
        <f>IF(AQ37="2",BH37,0)</f>
        <v>0</v>
      </c>
      <c r="AG37" s="25">
        <f>IF(AQ37="2",BI37,0)</f>
        <v>0</v>
      </c>
      <c r="AH37" s="25">
        <f>IF(AQ37="0",BJ37,0)</f>
        <v>0</v>
      </c>
      <c r="AI37" s="17" t="s">
        <v>45</v>
      </c>
      <c r="AJ37" s="25">
        <f>IF(AN37=0,J37,0)</f>
        <v>0</v>
      </c>
      <c r="AK37" s="25">
        <f>IF(AN37=15,J37,0)</f>
        <v>0</v>
      </c>
      <c r="AL37" s="25">
        <f>IF(AN37=21,J37,0)</f>
        <v>0</v>
      </c>
      <c r="AN37" s="25">
        <v>21</v>
      </c>
      <c r="AO37" s="25">
        <f>G37*0.86484304783578</f>
        <v>0</v>
      </c>
      <c r="AP37" s="25">
        <f>G37*(1-0.86484304783578)</f>
        <v>0</v>
      </c>
      <c r="AQ37" s="26" t="s">
        <v>49</v>
      </c>
      <c r="AV37" s="25">
        <f>AW37+AX37</f>
        <v>0</v>
      </c>
      <c r="AW37" s="25">
        <f>F37*AO37</f>
        <v>0</v>
      </c>
      <c r="AX37" s="25">
        <f>F37*AP37</f>
        <v>0</v>
      </c>
      <c r="AY37" s="26" t="s">
        <v>109</v>
      </c>
      <c r="AZ37" s="26" t="s">
        <v>110</v>
      </c>
      <c r="BA37" s="17" t="s">
        <v>56</v>
      </c>
      <c r="BC37" s="25">
        <f>AW37+AX37</f>
        <v>0</v>
      </c>
      <c r="BD37" s="25">
        <f>G37/(100-BE37)*100</f>
        <v>0</v>
      </c>
      <c r="BE37" s="25">
        <v>0</v>
      </c>
      <c r="BF37" s="25">
        <f>L37</f>
        <v>5910.5025</v>
      </c>
      <c r="BH37" s="25">
        <f>F37*AO37</f>
        <v>0</v>
      </c>
      <c r="BI37" s="25">
        <f>F37*AP37</f>
        <v>0</v>
      </c>
      <c r="BJ37" s="25">
        <f>F37*G37</f>
        <v>0</v>
      </c>
    </row>
    <row r="38" spans="3:13" ht="12.75" customHeight="1">
      <c r="C38" s="27" t="s">
        <v>72</v>
      </c>
      <c r="D38" s="103" t="s">
        <v>116</v>
      </c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62" ht="12.75">
      <c r="A39" s="2" t="s">
        <v>119</v>
      </c>
      <c r="B39" s="2" t="s">
        <v>45</v>
      </c>
      <c r="C39" s="2" t="s">
        <v>120</v>
      </c>
      <c r="D39" s="2" t="s">
        <v>121</v>
      </c>
      <c r="E39" s="2" t="s">
        <v>122</v>
      </c>
      <c r="F39" s="25">
        <v>5</v>
      </c>
      <c r="G39" s="25">
        <v>0</v>
      </c>
      <c r="H39" s="25">
        <f>F39*AO39</f>
        <v>0</v>
      </c>
      <c r="I39" s="25">
        <f>F39*AP39</f>
        <v>0</v>
      </c>
      <c r="J39" s="25">
        <f>F39*G39</f>
        <v>0</v>
      </c>
      <c r="K39" s="25">
        <v>0</v>
      </c>
      <c r="L39" s="25">
        <f>F39*K39</f>
        <v>0</v>
      </c>
      <c r="M39" s="26" t="s">
        <v>123</v>
      </c>
      <c r="Z39" s="25">
        <f>IF(AQ39="5",BJ39,0)</f>
        <v>0</v>
      </c>
      <c r="AB39" s="25">
        <f>IF(AQ39="1",BH39,0)</f>
        <v>0</v>
      </c>
      <c r="AC39" s="25">
        <f>IF(AQ39="1",BI39,0)</f>
        <v>0</v>
      </c>
      <c r="AD39" s="25">
        <f>IF(AQ39="7",BH39,0)</f>
        <v>0</v>
      </c>
      <c r="AE39" s="25">
        <f>IF(AQ39="7",BI39,0)</f>
        <v>0</v>
      </c>
      <c r="AF39" s="25">
        <f>IF(AQ39="2",BH39,0)</f>
        <v>0</v>
      </c>
      <c r="AG39" s="25">
        <f>IF(AQ39="2",BI39,0)</f>
        <v>0</v>
      </c>
      <c r="AH39" s="25">
        <f>IF(AQ39="0",BJ39,0)</f>
        <v>0</v>
      </c>
      <c r="AI39" s="17" t="s">
        <v>45</v>
      </c>
      <c r="AJ39" s="25">
        <f>IF(AN39=0,J39,0)</f>
        <v>0</v>
      </c>
      <c r="AK39" s="25">
        <f>IF(AN39=15,J39,0)</f>
        <v>0</v>
      </c>
      <c r="AL39" s="25">
        <f>IF(AN39=21,J39,0)</f>
        <v>0</v>
      </c>
      <c r="AN39" s="25">
        <v>21</v>
      </c>
      <c r="AO39" s="25">
        <f>G39*0</f>
        <v>0</v>
      </c>
      <c r="AP39" s="25">
        <f>G39*(1-0)</f>
        <v>0</v>
      </c>
      <c r="AQ39" s="26" t="s">
        <v>49</v>
      </c>
      <c r="AV39" s="25">
        <f>AW39+AX39</f>
        <v>0</v>
      </c>
      <c r="AW39" s="25">
        <f>F39*AO39</f>
        <v>0</v>
      </c>
      <c r="AX39" s="25">
        <f>F39*AP39</f>
        <v>0</v>
      </c>
      <c r="AY39" s="26" t="s">
        <v>109</v>
      </c>
      <c r="AZ39" s="26" t="s">
        <v>110</v>
      </c>
      <c r="BA39" s="17" t="s">
        <v>56</v>
      </c>
      <c r="BC39" s="25">
        <f>AW39+AX39</f>
        <v>0</v>
      </c>
      <c r="BD39" s="25">
        <f>G39/(100-BE39)*100</f>
        <v>0</v>
      </c>
      <c r="BE39" s="25">
        <v>0</v>
      </c>
      <c r="BF39" s="25">
        <f>L39</f>
        <v>0</v>
      </c>
      <c r="BH39" s="25">
        <f>F39*AO39</f>
        <v>0</v>
      </c>
      <c r="BI39" s="25">
        <f>F39*AP39</f>
        <v>0</v>
      </c>
      <c r="BJ39" s="25">
        <f>F39*G39</f>
        <v>0</v>
      </c>
    </row>
    <row r="40" spans="1:62" ht="12.75">
      <c r="A40" s="2" t="s">
        <v>78</v>
      </c>
      <c r="B40" s="2" t="s">
        <v>45</v>
      </c>
      <c r="C40" s="2" t="s">
        <v>124</v>
      </c>
      <c r="D40" s="2" t="s">
        <v>125</v>
      </c>
      <c r="E40" s="2" t="s">
        <v>89</v>
      </c>
      <c r="F40" s="25">
        <v>1273.05</v>
      </c>
      <c r="G40" s="25">
        <v>0</v>
      </c>
      <c r="H40" s="25">
        <f>F40*AO40</f>
        <v>0</v>
      </c>
      <c r="I40" s="25">
        <f>F40*AP40</f>
        <v>0</v>
      </c>
      <c r="J40" s="25">
        <f>F40*G40</f>
        <v>0</v>
      </c>
      <c r="K40" s="25">
        <v>0</v>
      </c>
      <c r="L40" s="25">
        <f>F40*K40</f>
        <v>0</v>
      </c>
      <c r="M40" s="26" t="s">
        <v>53</v>
      </c>
      <c r="Z40" s="25">
        <f>IF(AQ40="5",BJ40,0)</f>
        <v>0</v>
      </c>
      <c r="AB40" s="25">
        <f>IF(AQ40="1",BH40,0)</f>
        <v>0</v>
      </c>
      <c r="AC40" s="25">
        <f>IF(AQ40="1",BI40,0)</f>
        <v>0</v>
      </c>
      <c r="AD40" s="25">
        <f>IF(AQ40="7",BH40,0)</f>
        <v>0</v>
      </c>
      <c r="AE40" s="25">
        <f>IF(AQ40="7",BI40,0)</f>
        <v>0</v>
      </c>
      <c r="AF40" s="25">
        <f>IF(AQ40="2",BH40,0)</f>
        <v>0</v>
      </c>
      <c r="AG40" s="25">
        <f>IF(AQ40="2",BI40,0)</f>
        <v>0</v>
      </c>
      <c r="AH40" s="25">
        <f>IF(AQ40="0",BJ40,0)</f>
        <v>0</v>
      </c>
      <c r="AI40" s="17" t="s">
        <v>45</v>
      </c>
      <c r="AJ40" s="25">
        <f>IF(AN40=0,J40,0)</f>
        <v>0</v>
      </c>
      <c r="AK40" s="25">
        <f>IF(AN40=15,J40,0)</f>
        <v>0</v>
      </c>
      <c r="AL40" s="25">
        <f>IF(AN40=21,J40,0)</f>
        <v>0</v>
      </c>
      <c r="AN40" s="25">
        <v>21</v>
      </c>
      <c r="AO40" s="25">
        <f>G40*0</f>
        <v>0</v>
      </c>
      <c r="AP40" s="25">
        <f>G40*(1-0)</f>
        <v>0</v>
      </c>
      <c r="AQ40" s="26" t="s">
        <v>49</v>
      </c>
      <c r="AV40" s="25">
        <f>AW40+AX40</f>
        <v>0</v>
      </c>
      <c r="AW40" s="25">
        <f>F40*AO40</f>
        <v>0</v>
      </c>
      <c r="AX40" s="25">
        <f>F40*AP40</f>
        <v>0</v>
      </c>
      <c r="AY40" s="26" t="s">
        <v>109</v>
      </c>
      <c r="AZ40" s="26" t="s">
        <v>110</v>
      </c>
      <c r="BA40" s="17" t="s">
        <v>56</v>
      </c>
      <c r="BC40" s="25">
        <f>AW40+AX40</f>
        <v>0</v>
      </c>
      <c r="BD40" s="25">
        <f>G40/(100-BE40)*100</f>
        <v>0</v>
      </c>
      <c r="BE40" s="25">
        <v>0</v>
      </c>
      <c r="BF40" s="25">
        <f>L40</f>
        <v>0</v>
      </c>
      <c r="BH40" s="25">
        <f>F40*AO40</f>
        <v>0</v>
      </c>
      <c r="BI40" s="25">
        <f>F40*AP40</f>
        <v>0</v>
      </c>
      <c r="BJ40" s="25">
        <f>F40*G40</f>
        <v>0</v>
      </c>
    </row>
    <row r="41" spans="1:47" ht="12.75">
      <c r="A41" s="22"/>
      <c r="B41" s="23" t="s">
        <v>45</v>
      </c>
      <c r="C41" s="23" t="s">
        <v>126</v>
      </c>
      <c r="D41" s="23" t="s">
        <v>127</v>
      </c>
      <c r="E41" s="22" t="s">
        <v>3</v>
      </c>
      <c r="F41" s="22" t="s">
        <v>3</v>
      </c>
      <c r="G41" s="22" t="s">
        <v>3</v>
      </c>
      <c r="H41" s="24">
        <f>SUM(H42:H52)</f>
        <v>0</v>
      </c>
      <c r="I41" s="24">
        <f>SUM(I42:I52)</f>
        <v>0</v>
      </c>
      <c r="J41" s="24">
        <f>SUM(J42:J52)</f>
        <v>0</v>
      </c>
      <c r="K41" s="17"/>
      <c r="L41" s="24">
        <f>SUM(L42:L52)</f>
        <v>2167.7496172250003</v>
      </c>
      <c r="M41" s="17"/>
      <c r="AI41" s="17" t="s">
        <v>45</v>
      </c>
      <c r="AS41" s="24">
        <f>SUM(AJ42:AJ52)</f>
        <v>0</v>
      </c>
      <c r="AT41" s="24">
        <f>SUM(AK42:AK52)</f>
        <v>0</v>
      </c>
      <c r="AU41" s="24">
        <f>SUM(AL42:AL52)</f>
        <v>0</v>
      </c>
    </row>
    <row r="42" spans="1:62" ht="12.75">
      <c r="A42" s="2" t="s">
        <v>128</v>
      </c>
      <c r="B42" s="2" t="s">
        <v>45</v>
      </c>
      <c r="C42" s="2" t="s">
        <v>129</v>
      </c>
      <c r="D42" s="2" t="s">
        <v>130</v>
      </c>
      <c r="E42" s="2" t="s">
        <v>89</v>
      </c>
      <c r="F42" s="25">
        <v>2236.5</v>
      </c>
      <c r="G42" s="25">
        <v>0</v>
      </c>
      <c r="H42" s="25">
        <f>F42*AO42</f>
        <v>0</v>
      </c>
      <c r="I42" s="25">
        <f>F42*AP42</f>
        <v>0</v>
      </c>
      <c r="J42" s="25">
        <f>F42*G42</f>
        <v>0</v>
      </c>
      <c r="K42" s="25">
        <v>0.378</v>
      </c>
      <c r="L42" s="25">
        <f>F42*K42</f>
        <v>845.397</v>
      </c>
      <c r="M42" s="26" t="s">
        <v>53</v>
      </c>
      <c r="Z42" s="25">
        <f>IF(AQ42="5",BJ42,0)</f>
        <v>0</v>
      </c>
      <c r="AB42" s="25">
        <f>IF(AQ42="1",BH42,0)</f>
        <v>0</v>
      </c>
      <c r="AC42" s="25">
        <f>IF(AQ42="1",BI42,0)</f>
        <v>0</v>
      </c>
      <c r="AD42" s="25">
        <f>IF(AQ42="7",BH42,0)</f>
        <v>0</v>
      </c>
      <c r="AE42" s="25">
        <f>IF(AQ42="7",BI42,0)</f>
        <v>0</v>
      </c>
      <c r="AF42" s="25">
        <f>IF(AQ42="2",BH42,0)</f>
        <v>0</v>
      </c>
      <c r="AG42" s="25">
        <f>IF(AQ42="2",BI42,0)</f>
        <v>0</v>
      </c>
      <c r="AH42" s="25">
        <f>IF(AQ42="0",BJ42,0)</f>
        <v>0</v>
      </c>
      <c r="AI42" s="17" t="s">
        <v>45</v>
      </c>
      <c r="AJ42" s="25">
        <f>IF(AN42=0,J42,0)</f>
        <v>0</v>
      </c>
      <c r="AK42" s="25">
        <f>IF(AN42=15,J42,0)</f>
        <v>0</v>
      </c>
      <c r="AL42" s="25">
        <f>IF(AN42=21,J42,0)</f>
        <v>0</v>
      </c>
      <c r="AN42" s="25">
        <v>21</v>
      </c>
      <c r="AO42" s="25">
        <f>G42*0.855228784651622</f>
        <v>0</v>
      </c>
      <c r="AP42" s="25">
        <f>G42*(1-0.855228784651622)</f>
        <v>0</v>
      </c>
      <c r="AQ42" s="26" t="s">
        <v>49</v>
      </c>
      <c r="AV42" s="25">
        <f>AW42+AX42</f>
        <v>0</v>
      </c>
      <c r="AW42" s="25">
        <f>F42*AO42</f>
        <v>0</v>
      </c>
      <c r="AX42" s="25">
        <f>F42*AP42</f>
        <v>0</v>
      </c>
      <c r="AY42" s="26" t="s">
        <v>131</v>
      </c>
      <c r="AZ42" s="26" t="s">
        <v>110</v>
      </c>
      <c r="BA42" s="17" t="s">
        <v>56</v>
      </c>
      <c r="BC42" s="25">
        <f>AW42+AX42</f>
        <v>0</v>
      </c>
      <c r="BD42" s="25">
        <f>G42/(100-BE42)*100</f>
        <v>0</v>
      </c>
      <c r="BE42" s="25">
        <v>0</v>
      </c>
      <c r="BF42" s="25">
        <f>L42</f>
        <v>845.397</v>
      </c>
      <c r="BH42" s="25">
        <f>F42*AO42</f>
        <v>0</v>
      </c>
      <c r="BI42" s="25">
        <f>F42*AP42</f>
        <v>0</v>
      </c>
      <c r="BJ42" s="25">
        <f>F42*G42</f>
        <v>0</v>
      </c>
    </row>
    <row r="43" spans="3:13" ht="12.75" customHeight="1">
      <c r="C43" s="27" t="s">
        <v>72</v>
      </c>
      <c r="D43" s="103" t="s">
        <v>132</v>
      </c>
      <c r="E43" s="103"/>
      <c r="F43" s="103"/>
      <c r="G43" s="103"/>
      <c r="H43" s="103"/>
      <c r="I43" s="103"/>
      <c r="J43" s="103"/>
      <c r="K43" s="103"/>
      <c r="L43" s="103"/>
      <c r="M43" s="103"/>
    </row>
    <row r="44" spans="1:62" ht="12.75">
      <c r="A44" s="2" t="s">
        <v>84</v>
      </c>
      <c r="B44" s="2" t="s">
        <v>45</v>
      </c>
      <c r="C44" s="2" t="s">
        <v>133</v>
      </c>
      <c r="D44" s="2" t="s">
        <v>134</v>
      </c>
      <c r="E44" s="2" t="s">
        <v>89</v>
      </c>
      <c r="F44" s="25">
        <v>1116</v>
      </c>
      <c r="G44" s="25">
        <v>0</v>
      </c>
      <c r="H44" s="25">
        <f>F44*AO44</f>
        <v>0</v>
      </c>
      <c r="I44" s="25">
        <f>F44*AP44</f>
        <v>0</v>
      </c>
      <c r="J44" s="25">
        <f>F44*G44</f>
        <v>0</v>
      </c>
      <c r="K44" s="25">
        <v>0.0835</v>
      </c>
      <c r="L44" s="25">
        <f>F44*K44</f>
        <v>93.186</v>
      </c>
      <c r="M44" s="26" t="s">
        <v>53</v>
      </c>
      <c r="Z44" s="25">
        <f>IF(AQ44="5",BJ44,0)</f>
        <v>0</v>
      </c>
      <c r="AB44" s="25">
        <f>IF(AQ44="1",BH44,0)</f>
        <v>0</v>
      </c>
      <c r="AC44" s="25">
        <f>IF(AQ44="1",BI44,0)</f>
        <v>0</v>
      </c>
      <c r="AD44" s="25">
        <f>IF(AQ44="7",BH44,0)</f>
        <v>0</v>
      </c>
      <c r="AE44" s="25">
        <f>IF(AQ44="7",BI44,0)</f>
        <v>0</v>
      </c>
      <c r="AF44" s="25">
        <f>IF(AQ44="2",BH44,0)</f>
        <v>0</v>
      </c>
      <c r="AG44" s="25">
        <f>IF(AQ44="2",BI44,0)</f>
        <v>0</v>
      </c>
      <c r="AH44" s="25">
        <f>IF(AQ44="0",BJ44,0)</f>
        <v>0</v>
      </c>
      <c r="AI44" s="17" t="s">
        <v>45</v>
      </c>
      <c r="AJ44" s="25">
        <f>IF(AN44=0,J44,0)</f>
        <v>0</v>
      </c>
      <c r="AK44" s="25">
        <f>IF(AN44=15,J44,0)</f>
        <v>0</v>
      </c>
      <c r="AL44" s="25">
        <f>IF(AN44=21,J44,0)</f>
        <v>0</v>
      </c>
      <c r="AN44" s="25">
        <v>21</v>
      </c>
      <c r="AO44" s="25">
        <f>G44*0.27134720470786</f>
        <v>0</v>
      </c>
      <c r="AP44" s="25">
        <f>G44*(1-0.27134720470786)</f>
        <v>0</v>
      </c>
      <c r="AQ44" s="26" t="s">
        <v>49</v>
      </c>
      <c r="AV44" s="25">
        <f>AW44+AX44</f>
        <v>0</v>
      </c>
      <c r="AW44" s="25">
        <f>F44*AO44</f>
        <v>0</v>
      </c>
      <c r="AX44" s="25">
        <f>F44*AP44</f>
        <v>0</v>
      </c>
      <c r="AY44" s="26" t="s">
        <v>131</v>
      </c>
      <c r="AZ44" s="26" t="s">
        <v>110</v>
      </c>
      <c r="BA44" s="17" t="s">
        <v>56</v>
      </c>
      <c r="BC44" s="25">
        <f>AW44+AX44</f>
        <v>0</v>
      </c>
      <c r="BD44" s="25">
        <f>G44/(100-BE44)*100</f>
        <v>0</v>
      </c>
      <c r="BE44" s="25">
        <v>0</v>
      </c>
      <c r="BF44" s="25">
        <f>L44</f>
        <v>93.186</v>
      </c>
      <c r="BH44" s="25">
        <f>F44*AO44</f>
        <v>0</v>
      </c>
      <c r="BI44" s="25">
        <f>F44*AP44</f>
        <v>0</v>
      </c>
      <c r="BJ44" s="25">
        <f>F44*G44</f>
        <v>0</v>
      </c>
    </row>
    <row r="45" spans="3:13" ht="12.75" customHeight="1">
      <c r="C45" s="27" t="s">
        <v>72</v>
      </c>
      <c r="D45" s="103" t="s">
        <v>135</v>
      </c>
      <c r="E45" s="103"/>
      <c r="F45" s="103"/>
      <c r="G45" s="103"/>
      <c r="H45" s="103"/>
      <c r="I45" s="103"/>
      <c r="J45" s="103"/>
      <c r="K45" s="103"/>
      <c r="L45" s="103"/>
      <c r="M45" s="103"/>
    </row>
    <row r="46" spans="1:62" ht="12.75">
      <c r="A46" s="2" t="s">
        <v>136</v>
      </c>
      <c r="B46" s="2" t="s">
        <v>45</v>
      </c>
      <c r="C46" s="2" t="s">
        <v>137</v>
      </c>
      <c r="D46" s="2" t="s">
        <v>138</v>
      </c>
      <c r="E46" s="2" t="s">
        <v>89</v>
      </c>
      <c r="F46" s="25">
        <v>561.5</v>
      </c>
      <c r="G46" s="25">
        <v>0</v>
      </c>
      <c r="H46" s="25">
        <f>F46*AO46</f>
        <v>0</v>
      </c>
      <c r="I46" s="25">
        <f>F46*AP46</f>
        <v>0</v>
      </c>
      <c r="J46" s="25">
        <f>F46*G46</f>
        <v>0</v>
      </c>
      <c r="K46" s="25">
        <v>0.54409</v>
      </c>
      <c r="L46" s="25">
        <f>F46*K46</f>
        <v>305.506535</v>
      </c>
      <c r="M46" s="26" t="s">
        <v>53</v>
      </c>
      <c r="Z46" s="25">
        <f>IF(AQ46="5",BJ46,0)</f>
        <v>0</v>
      </c>
      <c r="AB46" s="25">
        <f>IF(AQ46="1",BH46,0)</f>
        <v>0</v>
      </c>
      <c r="AC46" s="25">
        <f>IF(AQ46="1",BI46,0)</f>
        <v>0</v>
      </c>
      <c r="AD46" s="25">
        <f>IF(AQ46="7",BH46,0)</f>
        <v>0</v>
      </c>
      <c r="AE46" s="25">
        <f>IF(AQ46="7",BI46,0)</f>
        <v>0</v>
      </c>
      <c r="AF46" s="25">
        <f>IF(AQ46="2",BH46,0)</f>
        <v>0</v>
      </c>
      <c r="AG46" s="25">
        <f>IF(AQ46="2",BI46,0)</f>
        <v>0</v>
      </c>
      <c r="AH46" s="25">
        <f>IF(AQ46="0",BJ46,0)</f>
        <v>0</v>
      </c>
      <c r="AI46" s="17" t="s">
        <v>45</v>
      </c>
      <c r="AJ46" s="25">
        <f>IF(AN46=0,J46,0)</f>
        <v>0</v>
      </c>
      <c r="AK46" s="25">
        <f>IF(AN46=15,J46,0)</f>
        <v>0</v>
      </c>
      <c r="AL46" s="25">
        <f>IF(AN46=21,J46,0)</f>
        <v>0</v>
      </c>
      <c r="AN46" s="25">
        <v>21</v>
      </c>
      <c r="AO46" s="25">
        <f>G46*0.953911717171717</f>
        <v>0</v>
      </c>
      <c r="AP46" s="25">
        <f>G46*(1-0.953911717171717)</f>
        <v>0</v>
      </c>
      <c r="AQ46" s="26" t="s">
        <v>49</v>
      </c>
      <c r="AV46" s="25">
        <f>AW46+AX46</f>
        <v>0</v>
      </c>
      <c r="AW46" s="25">
        <f>F46*AO46</f>
        <v>0</v>
      </c>
      <c r="AX46" s="25">
        <f>F46*AP46</f>
        <v>0</v>
      </c>
      <c r="AY46" s="26" t="s">
        <v>131</v>
      </c>
      <c r="AZ46" s="26" t="s">
        <v>110</v>
      </c>
      <c r="BA46" s="17" t="s">
        <v>56</v>
      </c>
      <c r="BC46" s="25">
        <f>AW46+AX46</f>
        <v>0</v>
      </c>
      <c r="BD46" s="25">
        <f>G46/(100-BE46)*100</f>
        <v>0</v>
      </c>
      <c r="BE46" s="25">
        <v>0</v>
      </c>
      <c r="BF46" s="25">
        <f>L46</f>
        <v>305.506535</v>
      </c>
      <c r="BH46" s="25">
        <f>F46*AO46</f>
        <v>0</v>
      </c>
      <c r="BI46" s="25">
        <f>F46*AP46</f>
        <v>0</v>
      </c>
      <c r="BJ46" s="25">
        <f>F46*G46</f>
        <v>0</v>
      </c>
    </row>
    <row r="47" spans="3:13" ht="12.75" customHeight="1">
      <c r="C47" s="27" t="s">
        <v>72</v>
      </c>
      <c r="D47" s="103" t="s">
        <v>139</v>
      </c>
      <c r="E47" s="103"/>
      <c r="F47" s="103"/>
      <c r="G47" s="103"/>
      <c r="H47" s="103"/>
      <c r="I47" s="103"/>
      <c r="J47" s="103"/>
      <c r="K47" s="103"/>
      <c r="L47" s="103"/>
      <c r="M47" s="103"/>
    </row>
    <row r="48" spans="1:62" ht="12.75">
      <c r="A48" s="2" t="s">
        <v>140</v>
      </c>
      <c r="B48" s="2" t="s">
        <v>45</v>
      </c>
      <c r="C48" s="2" t="s">
        <v>141</v>
      </c>
      <c r="D48" s="2" t="s">
        <v>138</v>
      </c>
      <c r="E48" s="2" t="s">
        <v>89</v>
      </c>
      <c r="F48" s="25">
        <v>553.5</v>
      </c>
      <c r="G48" s="25">
        <v>0</v>
      </c>
      <c r="H48" s="25">
        <f>F48*AO48</f>
        <v>0</v>
      </c>
      <c r="I48" s="25">
        <f>F48*AP48</f>
        <v>0</v>
      </c>
      <c r="J48" s="25">
        <f>F48*G48</f>
        <v>0</v>
      </c>
      <c r="K48" s="25">
        <v>0.55314</v>
      </c>
      <c r="L48" s="25">
        <f>F48*K48</f>
        <v>306.16299</v>
      </c>
      <c r="M48" s="26" t="s">
        <v>53</v>
      </c>
      <c r="Z48" s="25">
        <f>IF(AQ48="5",BJ48,0)</f>
        <v>0</v>
      </c>
      <c r="AB48" s="25">
        <f>IF(AQ48="1",BH48,0)</f>
        <v>0</v>
      </c>
      <c r="AC48" s="25">
        <f>IF(AQ48="1",BI48,0)</f>
        <v>0</v>
      </c>
      <c r="AD48" s="25">
        <f>IF(AQ48="7",BH48,0)</f>
        <v>0</v>
      </c>
      <c r="AE48" s="25">
        <f>IF(AQ48="7",BI48,0)</f>
        <v>0</v>
      </c>
      <c r="AF48" s="25">
        <f>IF(AQ48="2",BH48,0)</f>
        <v>0</v>
      </c>
      <c r="AG48" s="25">
        <f>IF(AQ48="2",BI48,0)</f>
        <v>0</v>
      </c>
      <c r="AH48" s="25">
        <f>IF(AQ48="0",BJ48,0)</f>
        <v>0</v>
      </c>
      <c r="AI48" s="17" t="s">
        <v>45</v>
      </c>
      <c r="AJ48" s="25">
        <f>IF(AN48=0,J48,0)</f>
        <v>0</v>
      </c>
      <c r="AK48" s="25">
        <f>IF(AN48=15,J48,0)</f>
        <v>0</v>
      </c>
      <c r="AL48" s="25">
        <f>IF(AN48=21,J48,0)</f>
        <v>0</v>
      </c>
      <c r="AN48" s="25">
        <v>21</v>
      </c>
      <c r="AO48" s="25">
        <f>G48*0.841989393939394</f>
        <v>0</v>
      </c>
      <c r="AP48" s="25">
        <f>G48*(1-0.841989393939394)</f>
        <v>0</v>
      </c>
      <c r="AQ48" s="26" t="s">
        <v>49</v>
      </c>
      <c r="AV48" s="25">
        <f>AW48+AX48</f>
        <v>0</v>
      </c>
      <c r="AW48" s="25">
        <f>F48*AO48</f>
        <v>0</v>
      </c>
      <c r="AX48" s="25">
        <f>F48*AP48</f>
        <v>0</v>
      </c>
      <c r="AY48" s="26" t="s">
        <v>131</v>
      </c>
      <c r="AZ48" s="26" t="s">
        <v>110</v>
      </c>
      <c r="BA48" s="17" t="s">
        <v>56</v>
      </c>
      <c r="BC48" s="25">
        <f>AW48+AX48</f>
        <v>0</v>
      </c>
      <c r="BD48" s="25">
        <f>G48/(100-BE48)*100</f>
        <v>0</v>
      </c>
      <c r="BE48" s="25">
        <v>0</v>
      </c>
      <c r="BF48" s="25">
        <f>L48</f>
        <v>306.16299</v>
      </c>
      <c r="BH48" s="25">
        <f>F48*AO48</f>
        <v>0</v>
      </c>
      <c r="BI48" s="25">
        <f>F48*AP48</f>
        <v>0</v>
      </c>
      <c r="BJ48" s="25">
        <f>F48*G48</f>
        <v>0</v>
      </c>
    </row>
    <row r="49" spans="3:13" ht="12.75" customHeight="1">
      <c r="C49" s="27" t="s">
        <v>72</v>
      </c>
      <c r="D49" s="103" t="s">
        <v>142</v>
      </c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62" ht="12.75">
      <c r="A50" s="2" t="s">
        <v>91</v>
      </c>
      <c r="B50" s="2" t="s">
        <v>45</v>
      </c>
      <c r="C50" s="2" t="s">
        <v>143</v>
      </c>
      <c r="D50" s="2" t="s">
        <v>144</v>
      </c>
      <c r="E50" s="2" t="s">
        <v>145</v>
      </c>
      <c r="F50" s="25">
        <v>10.39626</v>
      </c>
      <c r="G50" s="25">
        <v>0</v>
      </c>
      <c r="H50" s="25">
        <f>F50*AO50</f>
        <v>0</v>
      </c>
      <c r="I50" s="25">
        <f>F50*AP50</f>
        <v>0</v>
      </c>
      <c r="J50" s="25">
        <f>F50*G50</f>
        <v>0</v>
      </c>
      <c r="K50" s="25">
        <v>1.06625</v>
      </c>
      <c r="L50" s="25">
        <f>F50*K50</f>
        <v>11.085012225</v>
      </c>
      <c r="M50" s="26" t="s">
        <v>53</v>
      </c>
      <c r="Z50" s="25">
        <f>IF(AQ50="5",BJ50,0)</f>
        <v>0</v>
      </c>
      <c r="AB50" s="25">
        <f>IF(AQ50="1",BH50,0)</f>
        <v>0</v>
      </c>
      <c r="AC50" s="25">
        <f>IF(AQ50="1",BI50,0)</f>
        <v>0</v>
      </c>
      <c r="AD50" s="25">
        <f>IF(AQ50="7",BH50,0)</f>
        <v>0</v>
      </c>
      <c r="AE50" s="25">
        <f>IF(AQ50="7",BI50,0)</f>
        <v>0</v>
      </c>
      <c r="AF50" s="25">
        <f>IF(AQ50="2",BH50,0)</f>
        <v>0</v>
      </c>
      <c r="AG50" s="25">
        <f>IF(AQ50="2",BI50,0)</f>
        <v>0</v>
      </c>
      <c r="AH50" s="25">
        <f>IF(AQ50="0",BJ50,0)</f>
        <v>0</v>
      </c>
      <c r="AI50" s="17" t="s">
        <v>45</v>
      </c>
      <c r="AJ50" s="25">
        <f>IF(AN50=0,J50,0)</f>
        <v>0</v>
      </c>
      <c r="AK50" s="25">
        <f>IF(AN50=15,J50,0)</f>
        <v>0</v>
      </c>
      <c r="AL50" s="25">
        <f>IF(AN50=21,J50,0)</f>
        <v>0</v>
      </c>
      <c r="AN50" s="25">
        <v>21</v>
      </c>
      <c r="AO50" s="25">
        <f>G50*0.801869698853549</f>
        <v>0</v>
      </c>
      <c r="AP50" s="25">
        <f>G50*(1-0.801869698853549)</f>
        <v>0</v>
      </c>
      <c r="AQ50" s="26" t="s">
        <v>49</v>
      </c>
      <c r="AV50" s="25">
        <f>AW50+AX50</f>
        <v>0</v>
      </c>
      <c r="AW50" s="25">
        <f>F50*AO50</f>
        <v>0</v>
      </c>
      <c r="AX50" s="25">
        <f>F50*AP50</f>
        <v>0</v>
      </c>
      <c r="AY50" s="26" t="s">
        <v>131</v>
      </c>
      <c r="AZ50" s="26" t="s">
        <v>110</v>
      </c>
      <c r="BA50" s="17" t="s">
        <v>56</v>
      </c>
      <c r="BC50" s="25">
        <f>AW50+AX50</f>
        <v>0</v>
      </c>
      <c r="BD50" s="25">
        <f>G50/(100-BE50)*100</f>
        <v>0</v>
      </c>
      <c r="BE50" s="25">
        <v>0</v>
      </c>
      <c r="BF50" s="25">
        <f>L50</f>
        <v>11.085012225</v>
      </c>
      <c r="BH50" s="25">
        <f>F50*AO50</f>
        <v>0</v>
      </c>
      <c r="BI50" s="25">
        <f>F50*AP50</f>
        <v>0</v>
      </c>
      <c r="BJ50" s="25">
        <f>F50*G50</f>
        <v>0</v>
      </c>
    </row>
    <row r="51" spans="3:13" ht="12.75" customHeight="1">
      <c r="C51" s="27" t="s">
        <v>72</v>
      </c>
      <c r="D51" s="103" t="s">
        <v>146</v>
      </c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62" ht="12.75">
      <c r="A52" s="2" t="s">
        <v>147</v>
      </c>
      <c r="B52" s="2" t="s">
        <v>45</v>
      </c>
      <c r="C52" s="2" t="s">
        <v>148</v>
      </c>
      <c r="D52" s="2" t="s">
        <v>149</v>
      </c>
      <c r="E52" s="2" t="s">
        <v>89</v>
      </c>
      <c r="F52" s="25">
        <v>1127.16</v>
      </c>
      <c r="G52" s="25">
        <v>0</v>
      </c>
      <c r="H52" s="25">
        <f>F52*AO52</f>
        <v>0</v>
      </c>
      <c r="I52" s="25">
        <f>F52*AP52</f>
        <v>0</v>
      </c>
      <c r="J52" s="25">
        <f>F52*G52</f>
        <v>0</v>
      </c>
      <c r="K52" s="25">
        <v>0.538</v>
      </c>
      <c r="L52" s="25">
        <f>F52*K52</f>
        <v>606.4120800000001</v>
      </c>
      <c r="M52" s="26" t="s">
        <v>53</v>
      </c>
      <c r="Z52" s="25">
        <f>IF(AQ52="5",BJ52,0)</f>
        <v>0</v>
      </c>
      <c r="AB52" s="25">
        <f>IF(AQ52="1",BH52,0)</f>
        <v>0</v>
      </c>
      <c r="AC52" s="25">
        <f>IF(AQ52="1",BI52,0)</f>
        <v>0</v>
      </c>
      <c r="AD52" s="25">
        <f>IF(AQ52="7",BH52,0)</f>
        <v>0</v>
      </c>
      <c r="AE52" s="25">
        <f>IF(AQ52="7",BI52,0)</f>
        <v>0</v>
      </c>
      <c r="AF52" s="25">
        <f>IF(AQ52="2",BH52,0)</f>
        <v>0</v>
      </c>
      <c r="AG52" s="25">
        <f>IF(AQ52="2",BI52,0)</f>
        <v>0</v>
      </c>
      <c r="AH52" s="25">
        <f>IF(AQ52="0",BJ52,0)</f>
        <v>0</v>
      </c>
      <c r="AI52" s="17" t="s">
        <v>45</v>
      </c>
      <c r="AJ52" s="25">
        <f>IF(AN52=0,J52,0)</f>
        <v>0</v>
      </c>
      <c r="AK52" s="25">
        <f>IF(AN52=15,J52,0)</f>
        <v>0</v>
      </c>
      <c r="AL52" s="25">
        <f>IF(AN52=21,J52,0)</f>
        <v>0</v>
      </c>
      <c r="AN52" s="25">
        <v>21</v>
      </c>
      <c r="AO52" s="25">
        <f>G52*1</f>
        <v>0</v>
      </c>
      <c r="AP52" s="25">
        <f>G52*(1-1)</f>
        <v>0</v>
      </c>
      <c r="AQ52" s="26" t="s">
        <v>49</v>
      </c>
      <c r="AV52" s="25">
        <f>AW52+AX52</f>
        <v>0</v>
      </c>
      <c r="AW52" s="25">
        <f>F52*AO52</f>
        <v>0</v>
      </c>
      <c r="AX52" s="25">
        <f>F52*AP52</f>
        <v>0</v>
      </c>
      <c r="AY52" s="26" t="s">
        <v>131</v>
      </c>
      <c r="AZ52" s="26" t="s">
        <v>110</v>
      </c>
      <c r="BA52" s="17" t="s">
        <v>56</v>
      </c>
      <c r="BC52" s="25">
        <f>AW52+AX52</f>
        <v>0</v>
      </c>
      <c r="BD52" s="25">
        <f>G52/(100-BE52)*100</f>
        <v>0</v>
      </c>
      <c r="BE52" s="25">
        <v>0</v>
      </c>
      <c r="BF52" s="25">
        <f>L52</f>
        <v>606.4120800000001</v>
      </c>
      <c r="BH52" s="25">
        <f>F52*AO52</f>
        <v>0</v>
      </c>
      <c r="BI52" s="25">
        <f>F52*AP52</f>
        <v>0</v>
      </c>
      <c r="BJ52" s="25">
        <f>F52*G52</f>
        <v>0</v>
      </c>
    </row>
    <row r="53" spans="1:47" ht="12.75">
      <c r="A53" s="22"/>
      <c r="B53" s="23" t="s">
        <v>45</v>
      </c>
      <c r="C53" s="23" t="s">
        <v>150</v>
      </c>
      <c r="D53" s="23" t="s">
        <v>151</v>
      </c>
      <c r="E53" s="22" t="s">
        <v>3</v>
      </c>
      <c r="F53" s="22" t="s">
        <v>3</v>
      </c>
      <c r="G53" s="22" t="s">
        <v>3</v>
      </c>
      <c r="H53" s="24">
        <f>SUM(H54:H56)</f>
        <v>0</v>
      </c>
      <c r="I53" s="24">
        <f>SUM(I54:I56)</f>
        <v>0</v>
      </c>
      <c r="J53" s="24">
        <f>SUM(J54:J56)</f>
        <v>0</v>
      </c>
      <c r="K53" s="17"/>
      <c r="L53" s="24">
        <f>SUM(L54:L56)</f>
        <v>1.190025</v>
      </c>
      <c r="M53" s="17"/>
      <c r="AI53" s="17" t="s">
        <v>45</v>
      </c>
      <c r="AS53" s="24">
        <f>SUM(AJ54:AJ56)</f>
        <v>0</v>
      </c>
      <c r="AT53" s="24">
        <f>SUM(AK54:AK56)</f>
        <v>0</v>
      </c>
      <c r="AU53" s="24">
        <f>SUM(AL54:AL56)</f>
        <v>0</v>
      </c>
    </row>
    <row r="54" spans="1:62" ht="12.75">
      <c r="A54" s="2" t="s">
        <v>152</v>
      </c>
      <c r="B54" s="2" t="s">
        <v>45</v>
      </c>
      <c r="C54" s="2" t="s">
        <v>153</v>
      </c>
      <c r="D54" s="2" t="s">
        <v>154</v>
      </c>
      <c r="E54" s="2" t="s">
        <v>89</v>
      </c>
      <c r="F54" s="25">
        <v>553.5</v>
      </c>
      <c r="G54" s="25">
        <v>0</v>
      </c>
      <c r="H54" s="25">
        <f>F54*AO54</f>
        <v>0</v>
      </c>
      <c r="I54" s="25">
        <f>F54*AP54</f>
        <v>0</v>
      </c>
      <c r="J54" s="25">
        <f>F54*G54</f>
        <v>0</v>
      </c>
      <c r="K54" s="25">
        <v>0.00215</v>
      </c>
      <c r="L54" s="25">
        <f>F54*K54</f>
        <v>1.190025</v>
      </c>
      <c r="M54" s="26" t="s">
        <v>53</v>
      </c>
      <c r="Z54" s="25">
        <f>IF(AQ54="5",BJ54,0)</f>
        <v>0</v>
      </c>
      <c r="AB54" s="25">
        <f>IF(AQ54="1",BH54,0)</f>
        <v>0</v>
      </c>
      <c r="AC54" s="25">
        <f>IF(AQ54="1",BI54,0)</f>
        <v>0</v>
      </c>
      <c r="AD54" s="25">
        <f>IF(AQ54="7",BH54,0)</f>
        <v>0</v>
      </c>
      <c r="AE54" s="25">
        <f>IF(AQ54="7",BI54,0)</f>
        <v>0</v>
      </c>
      <c r="AF54" s="25">
        <f>IF(AQ54="2",BH54,0)</f>
        <v>0</v>
      </c>
      <c r="AG54" s="25">
        <f>IF(AQ54="2",BI54,0)</f>
        <v>0</v>
      </c>
      <c r="AH54" s="25">
        <f>IF(AQ54="0",BJ54,0)</f>
        <v>0</v>
      </c>
      <c r="AI54" s="17" t="s">
        <v>45</v>
      </c>
      <c r="AJ54" s="25">
        <f>IF(AN54=0,J54,0)</f>
        <v>0</v>
      </c>
      <c r="AK54" s="25">
        <f>IF(AN54=15,J54,0)</f>
        <v>0</v>
      </c>
      <c r="AL54" s="25">
        <f>IF(AN54=21,J54,0)</f>
        <v>0</v>
      </c>
      <c r="AN54" s="25">
        <v>21</v>
      </c>
      <c r="AO54" s="25">
        <f>G54*0.513471978699916</f>
        <v>0</v>
      </c>
      <c r="AP54" s="25">
        <f>G54*(1-0.513471978699916)</f>
        <v>0</v>
      </c>
      <c r="AQ54" s="26" t="s">
        <v>86</v>
      </c>
      <c r="AV54" s="25">
        <f>AW54+AX54</f>
        <v>0</v>
      </c>
      <c r="AW54" s="25">
        <f>F54*AO54</f>
        <v>0</v>
      </c>
      <c r="AX54" s="25">
        <f>F54*AP54</f>
        <v>0</v>
      </c>
      <c r="AY54" s="26" t="s">
        <v>155</v>
      </c>
      <c r="AZ54" s="26" t="s">
        <v>156</v>
      </c>
      <c r="BA54" s="17" t="s">
        <v>56</v>
      </c>
      <c r="BC54" s="25">
        <f>AW54+AX54</f>
        <v>0</v>
      </c>
      <c r="BD54" s="25">
        <f>G54/(100-BE54)*100</f>
        <v>0</v>
      </c>
      <c r="BE54" s="25">
        <v>0</v>
      </c>
      <c r="BF54" s="25">
        <f>L54</f>
        <v>1.190025</v>
      </c>
      <c r="BH54" s="25">
        <f>F54*AO54</f>
        <v>0</v>
      </c>
      <c r="BI54" s="25">
        <f>F54*AP54</f>
        <v>0</v>
      </c>
      <c r="BJ54" s="25">
        <f>F54*G54</f>
        <v>0</v>
      </c>
    </row>
    <row r="55" spans="3:13" ht="12.75" customHeight="1">
      <c r="C55" s="27" t="s">
        <v>72</v>
      </c>
      <c r="D55" s="103" t="s">
        <v>157</v>
      </c>
      <c r="E55" s="103"/>
      <c r="F55" s="103"/>
      <c r="G55" s="103"/>
      <c r="H55" s="103"/>
      <c r="I55" s="103"/>
      <c r="J55" s="103"/>
      <c r="K55" s="103"/>
      <c r="L55" s="103"/>
      <c r="M55" s="103"/>
    </row>
    <row r="56" spans="1:62" ht="12.75">
      <c r="A56" s="2" t="s">
        <v>158</v>
      </c>
      <c r="B56" s="2" t="s">
        <v>45</v>
      </c>
      <c r="C56" s="2" t="s">
        <v>159</v>
      </c>
      <c r="D56" s="2" t="s">
        <v>160</v>
      </c>
      <c r="E56" s="2" t="s">
        <v>145</v>
      </c>
      <c r="F56" s="25">
        <v>1.19</v>
      </c>
      <c r="G56" s="25">
        <v>0</v>
      </c>
      <c r="H56" s="25">
        <f>F56*AO56</f>
        <v>0</v>
      </c>
      <c r="I56" s="25">
        <f>F56*AP56</f>
        <v>0</v>
      </c>
      <c r="J56" s="25">
        <f>F56*G56</f>
        <v>0</v>
      </c>
      <c r="K56" s="25">
        <v>0</v>
      </c>
      <c r="L56" s="25">
        <f>F56*K56</f>
        <v>0</v>
      </c>
      <c r="M56" s="26" t="s">
        <v>53</v>
      </c>
      <c r="Z56" s="25">
        <f>IF(AQ56="5",BJ56,0)</f>
        <v>0</v>
      </c>
      <c r="AB56" s="25">
        <f>IF(AQ56="1",BH56,0)</f>
        <v>0</v>
      </c>
      <c r="AC56" s="25">
        <f>IF(AQ56="1",BI56,0)</f>
        <v>0</v>
      </c>
      <c r="AD56" s="25">
        <f>IF(AQ56="7",BH56,0)</f>
        <v>0</v>
      </c>
      <c r="AE56" s="25">
        <f>IF(AQ56="7",BI56,0)</f>
        <v>0</v>
      </c>
      <c r="AF56" s="25">
        <f>IF(AQ56="2",BH56,0)</f>
        <v>0</v>
      </c>
      <c r="AG56" s="25">
        <f>IF(AQ56="2",BI56,0)</f>
        <v>0</v>
      </c>
      <c r="AH56" s="25">
        <f>IF(AQ56="0",BJ56,0)</f>
        <v>0</v>
      </c>
      <c r="AI56" s="17" t="s">
        <v>45</v>
      </c>
      <c r="AJ56" s="25">
        <f>IF(AN56=0,J56,0)</f>
        <v>0</v>
      </c>
      <c r="AK56" s="25">
        <f>IF(AN56=15,J56,0)</f>
        <v>0</v>
      </c>
      <c r="AL56" s="25">
        <f>IF(AN56=21,J56,0)</f>
        <v>0</v>
      </c>
      <c r="AN56" s="25">
        <v>21</v>
      </c>
      <c r="AO56" s="25">
        <f>G56*0</f>
        <v>0</v>
      </c>
      <c r="AP56" s="25">
        <f>G56*(1-0)</f>
        <v>0</v>
      </c>
      <c r="AQ56" s="26" t="s">
        <v>74</v>
      </c>
      <c r="AV56" s="25">
        <f>AW56+AX56</f>
        <v>0</v>
      </c>
      <c r="AW56" s="25">
        <f>F56*AO56</f>
        <v>0</v>
      </c>
      <c r="AX56" s="25">
        <f>F56*AP56</f>
        <v>0</v>
      </c>
      <c r="AY56" s="26" t="s">
        <v>155</v>
      </c>
      <c r="AZ56" s="26" t="s">
        <v>156</v>
      </c>
      <c r="BA56" s="17" t="s">
        <v>56</v>
      </c>
      <c r="BC56" s="25">
        <f>AW56+AX56</f>
        <v>0</v>
      </c>
      <c r="BD56" s="25">
        <f>G56/(100-BE56)*100</f>
        <v>0</v>
      </c>
      <c r="BE56" s="25">
        <v>0</v>
      </c>
      <c r="BF56" s="25">
        <f>L56</f>
        <v>0</v>
      </c>
      <c r="BH56" s="25">
        <f>F56*AO56</f>
        <v>0</v>
      </c>
      <c r="BI56" s="25">
        <f>F56*AP56</f>
        <v>0</v>
      </c>
      <c r="BJ56" s="25">
        <f>F56*G56</f>
        <v>0</v>
      </c>
    </row>
    <row r="57" spans="1:47" ht="12.75">
      <c r="A57" s="22"/>
      <c r="B57" s="23" t="s">
        <v>45</v>
      </c>
      <c r="C57" s="23" t="s">
        <v>161</v>
      </c>
      <c r="D57" s="23" t="s">
        <v>162</v>
      </c>
      <c r="E57" s="22" t="s">
        <v>3</v>
      </c>
      <c r="F57" s="22" t="s">
        <v>3</v>
      </c>
      <c r="G57" s="22" t="s">
        <v>3</v>
      </c>
      <c r="H57" s="24">
        <f>SUM(H58:H59)</f>
        <v>0</v>
      </c>
      <c r="I57" s="24">
        <f>SUM(I58:I59)</f>
        <v>0</v>
      </c>
      <c r="J57" s="24">
        <f>SUM(J58:J59)</f>
        <v>0</v>
      </c>
      <c r="K57" s="17"/>
      <c r="L57" s="24">
        <f>SUM(L58:L59)</f>
        <v>0.1460844</v>
      </c>
      <c r="M57" s="17"/>
      <c r="AI57" s="17" t="s">
        <v>45</v>
      </c>
      <c r="AS57" s="24">
        <f>SUM(AJ58:AJ59)</f>
        <v>0</v>
      </c>
      <c r="AT57" s="24">
        <f>SUM(AK58:AK59)</f>
        <v>0</v>
      </c>
      <c r="AU57" s="24">
        <f>SUM(AL58:AL59)</f>
        <v>0</v>
      </c>
    </row>
    <row r="58" spans="1:62" ht="12.75">
      <c r="A58" s="2" t="s">
        <v>163</v>
      </c>
      <c r="B58" s="2" t="s">
        <v>45</v>
      </c>
      <c r="C58" s="2" t="s">
        <v>164</v>
      </c>
      <c r="D58" s="2" t="s">
        <v>165</v>
      </c>
      <c r="E58" s="2" t="s">
        <v>77</v>
      </c>
      <c r="F58" s="25">
        <v>18.6</v>
      </c>
      <c r="G58" s="25">
        <v>0</v>
      </c>
      <c r="H58" s="25">
        <f>F58*AO58</f>
        <v>0</v>
      </c>
      <c r="I58" s="25">
        <f>F58*AP58</f>
        <v>0</v>
      </c>
      <c r="J58" s="25">
        <f>F58*G58</f>
        <v>0</v>
      </c>
      <c r="K58" s="25">
        <v>0</v>
      </c>
      <c r="L58" s="25">
        <f>F58*K58</f>
        <v>0</v>
      </c>
      <c r="M58" s="26" t="s">
        <v>53</v>
      </c>
      <c r="Z58" s="25">
        <f>IF(AQ58="5",BJ58,0)</f>
        <v>0</v>
      </c>
      <c r="AB58" s="25">
        <f>IF(AQ58="1",BH58,0)</f>
        <v>0</v>
      </c>
      <c r="AC58" s="25">
        <f>IF(AQ58="1",BI58,0)</f>
        <v>0</v>
      </c>
      <c r="AD58" s="25">
        <f>IF(AQ58="7",BH58,0)</f>
        <v>0</v>
      </c>
      <c r="AE58" s="25">
        <f>IF(AQ58="7",BI58,0)</f>
        <v>0</v>
      </c>
      <c r="AF58" s="25">
        <f>IF(AQ58="2",BH58,0)</f>
        <v>0</v>
      </c>
      <c r="AG58" s="25">
        <f>IF(AQ58="2",BI58,0)</f>
        <v>0</v>
      </c>
      <c r="AH58" s="25">
        <f>IF(AQ58="0",BJ58,0)</f>
        <v>0</v>
      </c>
      <c r="AI58" s="17" t="s">
        <v>45</v>
      </c>
      <c r="AJ58" s="25">
        <f>IF(AN58=0,J58,0)</f>
        <v>0</v>
      </c>
      <c r="AK58" s="25">
        <f>IF(AN58=15,J58,0)</f>
        <v>0</v>
      </c>
      <c r="AL58" s="25">
        <f>IF(AN58=21,J58,0)</f>
        <v>0</v>
      </c>
      <c r="AN58" s="25">
        <v>21</v>
      </c>
      <c r="AO58" s="25">
        <f>G58*0</f>
        <v>0</v>
      </c>
      <c r="AP58" s="25">
        <f>G58*(1-0)</f>
        <v>0</v>
      </c>
      <c r="AQ58" s="26" t="s">
        <v>49</v>
      </c>
      <c r="AV58" s="25">
        <f>AW58+AX58</f>
        <v>0</v>
      </c>
      <c r="AW58" s="25">
        <f>F58*AO58</f>
        <v>0</v>
      </c>
      <c r="AX58" s="25">
        <f>F58*AP58</f>
        <v>0</v>
      </c>
      <c r="AY58" s="26" t="s">
        <v>166</v>
      </c>
      <c r="AZ58" s="26" t="s">
        <v>167</v>
      </c>
      <c r="BA58" s="17" t="s">
        <v>56</v>
      </c>
      <c r="BC58" s="25">
        <f>AW58+AX58</f>
        <v>0</v>
      </c>
      <c r="BD58" s="25">
        <f>G58/(100-BE58)*100</f>
        <v>0</v>
      </c>
      <c r="BE58" s="25">
        <v>0</v>
      </c>
      <c r="BF58" s="25">
        <f>L58</f>
        <v>0</v>
      </c>
      <c r="BH58" s="25">
        <f>F58*AO58</f>
        <v>0</v>
      </c>
      <c r="BI58" s="25">
        <f>F58*AP58</f>
        <v>0</v>
      </c>
      <c r="BJ58" s="25">
        <f>F58*G58</f>
        <v>0</v>
      </c>
    </row>
    <row r="59" spans="1:62" ht="12.75">
      <c r="A59" s="2" t="s">
        <v>168</v>
      </c>
      <c r="B59" s="2" t="s">
        <v>45</v>
      </c>
      <c r="C59" s="2" t="s">
        <v>169</v>
      </c>
      <c r="D59" s="2" t="s">
        <v>170</v>
      </c>
      <c r="E59" s="2" t="s">
        <v>77</v>
      </c>
      <c r="F59" s="25">
        <v>18.972</v>
      </c>
      <c r="G59" s="25">
        <v>0</v>
      </c>
      <c r="H59" s="25">
        <f>F59*AO59</f>
        <v>0</v>
      </c>
      <c r="I59" s="25">
        <f>F59*AP59</f>
        <v>0</v>
      </c>
      <c r="J59" s="25">
        <f>F59*G59</f>
        <v>0</v>
      </c>
      <c r="K59" s="25">
        <v>0.0077</v>
      </c>
      <c r="L59" s="25">
        <f>F59*K59</f>
        <v>0.1460844</v>
      </c>
      <c r="M59" s="26" t="s">
        <v>53</v>
      </c>
      <c r="Z59" s="25">
        <f>IF(AQ59="5",BJ59,0)</f>
        <v>0</v>
      </c>
      <c r="AB59" s="25">
        <f>IF(AQ59="1",BH59,0)</f>
        <v>0</v>
      </c>
      <c r="AC59" s="25">
        <f>IF(AQ59="1",BI59,0)</f>
        <v>0</v>
      </c>
      <c r="AD59" s="25">
        <f>IF(AQ59="7",BH59,0)</f>
        <v>0</v>
      </c>
      <c r="AE59" s="25">
        <f>IF(AQ59="7",BI59,0)</f>
        <v>0</v>
      </c>
      <c r="AF59" s="25">
        <f>IF(AQ59="2",BH59,0)</f>
        <v>0</v>
      </c>
      <c r="AG59" s="25">
        <f>IF(AQ59="2",BI59,0)</f>
        <v>0</v>
      </c>
      <c r="AH59" s="25">
        <f>IF(AQ59="0",BJ59,0)</f>
        <v>0</v>
      </c>
      <c r="AI59" s="17" t="s">
        <v>45</v>
      </c>
      <c r="AJ59" s="25">
        <f>IF(AN59=0,J59,0)</f>
        <v>0</v>
      </c>
      <c r="AK59" s="25">
        <f>IF(AN59=15,J59,0)</f>
        <v>0</v>
      </c>
      <c r="AL59" s="25">
        <f>IF(AN59=21,J59,0)</f>
        <v>0</v>
      </c>
      <c r="AN59" s="25">
        <v>21</v>
      </c>
      <c r="AO59" s="25">
        <f>G59*1</f>
        <v>0</v>
      </c>
      <c r="AP59" s="25">
        <f>G59*(1-1)</f>
        <v>0</v>
      </c>
      <c r="AQ59" s="26" t="s">
        <v>49</v>
      </c>
      <c r="AV59" s="25">
        <f>AW59+AX59</f>
        <v>0</v>
      </c>
      <c r="AW59" s="25">
        <f>F59*AO59</f>
        <v>0</v>
      </c>
      <c r="AX59" s="25">
        <f>F59*AP59</f>
        <v>0</v>
      </c>
      <c r="AY59" s="26" t="s">
        <v>166</v>
      </c>
      <c r="AZ59" s="26" t="s">
        <v>167</v>
      </c>
      <c r="BA59" s="17" t="s">
        <v>56</v>
      </c>
      <c r="BC59" s="25">
        <f>AW59+AX59</f>
        <v>0</v>
      </c>
      <c r="BD59" s="25">
        <f>G59/(100-BE59)*100</f>
        <v>0</v>
      </c>
      <c r="BE59" s="25">
        <v>0</v>
      </c>
      <c r="BF59" s="25">
        <f>L59</f>
        <v>0.1460844</v>
      </c>
      <c r="BH59" s="25">
        <f>F59*AO59</f>
        <v>0</v>
      </c>
      <c r="BI59" s="25">
        <f>F59*AP59</f>
        <v>0</v>
      </c>
      <c r="BJ59" s="25">
        <f>F59*G59</f>
        <v>0</v>
      </c>
    </row>
    <row r="60" spans="1:47" ht="12.75">
      <c r="A60" s="22"/>
      <c r="B60" s="23" t="s">
        <v>45</v>
      </c>
      <c r="C60" s="23" t="s">
        <v>171</v>
      </c>
      <c r="D60" s="23" t="s">
        <v>172</v>
      </c>
      <c r="E60" s="22" t="s">
        <v>3</v>
      </c>
      <c r="F60" s="22" t="s">
        <v>3</v>
      </c>
      <c r="G60" s="22"/>
      <c r="H60" s="24">
        <f>SUM(H61:H61)</f>
        <v>0</v>
      </c>
      <c r="I60" s="24">
        <f>SUM(I61:I61)</f>
        <v>0</v>
      </c>
      <c r="J60" s="24">
        <f>SUM(J61:J61)</f>
        <v>0</v>
      </c>
      <c r="K60" s="17"/>
      <c r="L60" s="24">
        <f>SUM(L61:L61)</f>
        <v>3.05967</v>
      </c>
      <c r="M60" s="17"/>
      <c r="AI60" s="17" t="s">
        <v>45</v>
      </c>
      <c r="AS60" s="24">
        <f>SUM(AJ61:AJ61)</f>
        <v>0</v>
      </c>
      <c r="AT60" s="24">
        <f>SUM(AK61:AK61)</f>
        <v>0</v>
      </c>
      <c r="AU60" s="24">
        <f>SUM(AL61:AL61)</f>
        <v>0</v>
      </c>
    </row>
    <row r="61" spans="1:62" ht="12.75">
      <c r="A61" s="2" t="s">
        <v>173</v>
      </c>
      <c r="B61" s="2" t="s">
        <v>45</v>
      </c>
      <c r="C61" s="2" t="s">
        <v>174</v>
      </c>
      <c r="D61" s="2" t="s">
        <v>175</v>
      </c>
      <c r="E61" s="2" t="s">
        <v>176</v>
      </c>
      <c r="F61" s="25">
        <v>1</v>
      </c>
      <c r="G61" s="25">
        <v>0</v>
      </c>
      <c r="H61" s="25">
        <f>F61*AO61</f>
        <v>0</v>
      </c>
      <c r="I61" s="25">
        <f>F61*AP61</f>
        <v>0</v>
      </c>
      <c r="J61" s="25">
        <f>F61*G61</f>
        <v>0</v>
      </c>
      <c r="K61" s="25">
        <v>3.05967</v>
      </c>
      <c r="L61" s="25">
        <f>F61*K61</f>
        <v>3.05967</v>
      </c>
      <c r="M61" s="26" t="s">
        <v>53</v>
      </c>
      <c r="Z61" s="25">
        <f>IF(AQ61="5",BJ61,0)</f>
        <v>0</v>
      </c>
      <c r="AB61" s="25">
        <f>IF(AQ61="1",BH61,0)</f>
        <v>0</v>
      </c>
      <c r="AC61" s="25">
        <f>IF(AQ61="1",BI61,0)</f>
        <v>0</v>
      </c>
      <c r="AD61" s="25">
        <f>IF(AQ61="7",BH61,0)</f>
        <v>0</v>
      </c>
      <c r="AE61" s="25">
        <f>IF(AQ61="7",BI61,0)</f>
        <v>0</v>
      </c>
      <c r="AF61" s="25">
        <f>IF(AQ61="2",BH61,0)</f>
        <v>0</v>
      </c>
      <c r="AG61" s="25">
        <f>IF(AQ61="2",BI61,0)</f>
        <v>0</v>
      </c>
      <c r="AH61" s="25">
        <f>IF(AQ61="0",BJ61,0)</f>
        <v>0</v>
      </c>
      <c r="AI61" s="17" t="s">
        <v>45</v>
      </c>
      <c r="AJ61" s="25">
        <f>IF(AN61=0,J61,0)</f>
        <v>0</v>
      </c>
      <c r="AK61" s="25">
        <f>IF(AN61=15,J61,0)</f>
        <v>0</v>
      </c>
      <c r="AL61" s="25">
        <f>IF(AN61=21,J61,0)</f>
        <v>0</v>
      </c>
      <c r="AN61" s="25">
        <v>21</v>
      </c>
      <c r="AO61" s="25">
        <f>G61*0.761220618556701</f>
        <v>0</v>
      </c>
      <c r="AP61" s="25">
        <f>G61*(1-0.761220618556701)</f>
        <v>0</v>
      </c>
      <c r="AQ61" s="26" t="s">
        <v>49</v>
      </c>
      <c r="AV61" s="25">
        <f>AW61+AX61</f>
        <v>0</v>
      </c>
      <c r="AW61" s="25">
        <f>F61*AO61</f>
        <v>0</v>
      </c>
      <c r="AX61" s="25">
        <f>F61*AP61</f>
        <v>0</v>
      </c>
      <c r="AY61" s="26" t="s">
        <v>177</v>
      </c>
      <c r="AZ61" s="26" t="s">
        <v>167</v>
      </c>
      <c r="BA61" s="17" t="s">
        <v>56</v>
      </c>
      <c r="BC61" s="25">
        <f>AW61+AX61</f>
        <v>0</v>
      </c>
      <c r="BD61" s="25">
        <f>G61/(100-BE61)*100</f>
        <v>0</v>
      </c>
      <c r="BE61" s="25">
        <v>0</v>
      </c>
      <c r="BF61" s="25">
        <f>L61</f>
        <v>3.05967</v>
      </c>
      <c r="BH61" s="25">
        <f>F61*AO61</f>
        <v>0</v>
      </c>
      <c r="BI61" s="25">
        <f>F61*AP61</f>
        <v>0</v>
      </c>
      <c r="BJ61" s="25">
        <f>F61*G61</f>
        <v>0</v>
      </c>
    </row>
    <row r="62" spans="3:13" ht="12.75" customHeight="1">
      <c r="C62" s="27" t="s">
        <v>72</v>
      </c>
      <c r="D62" s="103" t="s">
        <v>178</v>
      </c>
      <c r="E62" s="103"/>
      <c r="F62" s="103"/>
      <c r="G62" s="103"/>
      <c r="H62" s="103"/>
      <c r="I62" s="103"/>
      <c r="J62" s="103"/>
      <c r="K62" s="103"/>
      <c r="L62" s="103"/>
      <c r="M62" s="103"/>
    </row>
    <row r="63" spans="1:47" ht="12.75">
      <c r="A63" s="22"/>
      <c r="B63" s="23" t="s">
        <v>45</v>
      </c>
      <c r="C63" s="23" t="s">
        <v>179</v>
      </c>
      <c r="D63" s="23" t="s">
        <v>180</v>
      </c>
      <c r="E63" s="22" t="s">
        <v>3</v>
      </c>
      <c r="F63" s="22" t="s">
        <v>3</v>
      </c>
      <c r="G63" s="22" t="s">
        <v>3</v>
      </c>
      <c r="H63" s="24">
        <f>SUM(H64:H64)</f>
        <v>0</v>
      </c>
      <c r="I63" s="24">
        <f>SUM(I64:I64)</f>
        <v>0</v>
      </c>
      <c r="J63" s="24">
        <f>SUM(J64:J64)</f>
        <v>0</v>
      </c>
      <c r="K63" s="17"/>
      <c r="L63" s="24">
        <f>SUM(L64:L64)</f>
        <v>0.09033</v>
      </c>
      <c r="M63" s="17"/>
      <c r="AI63" s="17" t="s">
        <v>45</v>
      </c>
      <c r="AS63" s="24">
        <f>SUM(AJ64:AJ64)</f>
        <v>0</v>
      </c>
      <c r="AT63" s="24">
        <f>SUM(AK64:AK64)</f>
        <v>0</v>
      </c>
      <c r="AU63" s="24">
        <f>SUM(AL64:AL64)</f>
        <v>0</v>
      </c>
    </row>
    <row r="64" spans="1:62" ht="12.75">
      <c r="A64" s="2" t="s">
        <v>181</v>
      </c>
      <c r="B64" s="2" t="s">
        <v>45</v>
      </c>
      <c r="C64" s="2" t="s">
        <v>182</v>
      </c>
      <c r="D64" s="2" t="s">
        <v>183</v>
      </c>
      <c r="E64" s="2" t="s">
        <v>176</v>
      </c>
      <c r="F64" s="25">
        <v>1</v>
      </c>
      <c r="G64" s="25">
        <v>0</v>
      </c>
      <c r="H64" s="25">
        <f>F64*AO64</f>
        <v>0</v>
      </c>
      <c r="I64" s="25">
        <f>F64*AP64</f>
        <v>0</v>
      </c>
      <c r="J64" s="25">
        <f>F64*G64</f>
        <v>0</v>
      </c>
      <c r="K64" s="25">
        <v>0.09033</v>
      </c>
      <c r="L64" s="25">
        <f>F64*K64</f>
        <v>0.09033</v>
      </c>
      <c r="M64" s="26" t="s">
        <v>53</v>
      </c>
      <c r="Z64" s="25">
        <f>IF(AQ64="5",BJ64,0)</f>
        <v>0</v>
      </c>
      <c r="AB64" s="25">
        <f>IF(AQ64="1",BH64,0)</f>
        <v>0</v>
      </c>
      <c r="AC64" s="25">
        <f>IF(AQ64="1",BI64,0)</f>
        <v>0</v>
      </c>
      <c r="AD64" s="25">
        <f>IF(AQ64="7",BH64,0)</f>
        <v>0</v>
      </c>
      <c r="AE64" s="25">
        <f>IF(AQ64="7",BI64,0)</f>
        <v>0</v>
      </c>
      <c r="AF64" s="25">
        <f>IF(AQ64="2",BH64,0)</f>
        <v>0</v>
      </c>
      <c r="AG64" s="25">
        <f>IF(AQ64="2",BI64,0)</f>
        <v>0</v>
      </c>
      <c r="AH64" s="25">
        <f>IF(AQ64="0",BJ64,0)</f>
        <v>0</v>
      </c>
      <c r="AI64" s="17" t="s">
        <v>45</v>
      </c>
      <c r="AJ64" s="25">
        <f>IF(AN64=0,J64,0)</f>
        <v>0</v>
      </c>
      <c r="AK64" s="25">
        <f>IF(AN64=15,J64,0)</f>
        <v>0</v>
      </c>
      <c r="AL64" s="25">
        <f>IF(AN64=21,J64,0)</f>
        <v>0</v>
      </c>
      <c r="AN64" s="25">
        <v>21</v>
      </c>
      <c r="AO64" s="25">
        <f>G64*0.0296809523809524</f>
        <v>0</v>
      </c>
      <c r="AP64" s="25">
        <f>G64*(1-0.0296809523809524)</f>
        <v>0</v>
      </c>
      <c r="AQ64" s="26" t="s">
        <v>49</v>
      </c>
      <c r="AV64" s="25">
        <f>AW64+AX64</f>
        <v>0</v>
      </c>
      <c r="AW64" s="25">
        <f>F64*AO64</f>
        <v>0</v>
      </c>
      <c r="AX64" s="25">
        <f>F64*AP64</f>
        <v>0</v>
      </c>
      <c r="AY64" s="26" t="s">
        <v>184</v>
      </c>
      <c r="AZ64" s="26" t="s">
        <v>185</v>
      </c>
      <c r="BA64" s="17" t="s">
        <v>56</v>
      </c>
      <c r="BC64" s="25">
        <f>AW64+AX64</f>
        <v>0</v>
      </c>
      <c r="BD64" s="25">
        <f>G64/(100-BE64)*100</f>
        <v>0</v>
      </c>
      <c r="BE64" s="25">
        <v>0</v>
      </c>
      <c r="BF64" s="25">
        <f>L64</f>
        <v>0.09033</v>
      </c>
      <c r="BH64" s="25">
        <f>F64*AO64</f>
        <v>0</v>
      </c>
      <c r="BI64" s="25">
        <f>F64*AP64</f>
        <v>0</v>
      </c>
      <c r="BJ64" s="25">
        <f>F64*G64</f>
        <v>0</v>
      </c>
    </row>
    <row r="65" spans="1:47" ht="12.75">
      <c r="A65" s="22"/>
      <c r="B65" s="23" t="s">
        <v>45</v>
      </c>
      <c r="C65" s="23" t="s">
        <v>186</v>
      </c>
      <c r="D65" s="23" t="s">
        <v>187</v>
      </c>
      <c r="E65" s="22" t="s">
        <v>3</v>
      </c>
      <c r="F65" s="22" t="s">
        <v>3</v>
      </c>
      <c r="G65" s="22" t="s">
        <v>3</v>
      </c>
      <c r="H65" s="24">
        <f>SUM(H66:H68)</f>
        <v>0</v>
      </c>
      <c r="I65" s="24">
        <f>SUM(I66:I68)</f>
        <v>0</v>
      </c>
      <c r="J65" s="24">
        <f>SUM(J66:J68)</f>
        <v>0</v>
      </c>
      <c r="K65" s="17"/>
      <c r="L65" s="24">
        <f>SUM(L66:L68)</f>
        <v>0</v>
      </c>
      <c r="M65" s="17"/>
      <c r="AI65" s="17" t="s">
        <v>45</v>
      </c>
      <c r="AS65" s="24">
        <f>SUM(AJ66:AJ68)</f>
        <v>0</v>
      </c>
      <c r="AT65" s="24">
        <f>SUM(AK66:AK68)</f>
        <v>0</v>
      </c>
      <c r="AU65" s="24">
        <f>SUM(AL66:AL68)</f>
        <v>0</v>
      </c>
    </row>
    <row r="66" spans="1:62" ht="12.75">
      <c r="A66" s="2" t="s">
        <v>188</v>
      </c>
      <c r="B66" s="2" t="s">
        <v>45</v>
      </c>
      <c r="C66" s="2" t="s">
        <v>189</v>
      </c>
      <c r="D66" s="2" t="s">
        <v>190</v>
      </c>
      <c r="E66" s="2" t="s">
        <v>145</v>
      </c>
      <c r="F66" s="25">
        <v>2174.6</v>
      </c>
      <c r="G66" s="25">
        <v>0</v>
      </c>
      <c r="H66" s="25">
        <f>F66*AO66</f>
        <v>0</v>
      </c>
      <c r="I66" s="25">
        <f>F66*AP66</f>
        <v>0</v>
      </c>
      <c r="J66" s="25">
        <f>F66*G66</f>
        <v>0</v>
      </c>
      <c r="K66" s="25">
        <v>0</v>
      </c>
      <c r="L66" s="25">
        <f>F66*K66</f>
        <v>0</v>
      </c>
      <c r="M66" s="26" t="s">
        <v>53</v>
      </c>
      <c r="Z66" s="25">
        <f>IF(AQ66="5",BJ66,0)</f>
        <v>0</v>
      </c>
      <c r="AB66" s="25">
        <f>IF(AQ66="1",BH66,0)</f>
        <v>0</v>
      </c>
      <c r="AC66" s="25">
        <f>IF(AQ66="1",BI66,0)</f>
        <v>0</v>
      </c>
      <c r="AD66" s="25">
        <f>IF(AQ66="7",BH66,0)</f>
        <v>0</v>
      </c>
      <c r="AE66" s="25">
        <f>IF(AQ66="7",BI66,0)</f>
        <v>0</v>
      </c>
      <c r="AF66" s="25">
        <f>IF(AQ66="2",BH66,0)</f>
        <v>0</v>
      </c>
      <c r="AG66" s="25">
        <f>IF(AQ66="2",BI66,0)</f>
        <v>0</v>
      </c>
      <c r="AH66" s="25">
        <f>IF(AQ66="0",BJ66,0)</f>
        <v>0</v>
      </c>
      <c r="AI66" s="17" t="s">
        <v>45</v>
      </c>
      <c r="AJ66" s="25">
        <f>IF(AN66=0,J66,0)</f>
        <v>0</v>
      </c>
      <c r="AK66" s="25">
        <f>IF(AN66=15,J66,0)</f>
        <v>0</v>
      </c>
      <c r="AL66" s="25">
        <f>IF(AN66=21,J66,0)</f>
        <v>0</v>
      </c>
      <c r="AN66" s="25">
        <v>21</v>
      </c>
      <c r="AO66" s="25">
        <f>G66*0</f>
        <v>0</v>
      </c>
      <c r="AP66" s="25">
        <f>G66*(1-0)</f>
        <v>0</v>
      </c>
      <c r="AQ66" s="26" t="s">
        <v>74</v>
      </c>
      <c r="AV66" s="25">
        <f>AW66+AX66</f>
        <v>0</v>
      </c>
      <c r="AW66" s="25">
        <f>F66*AO66</f>
        <v>0</v>
      </c>
      <c r="AX66" s="25">
        <f>F66*AP66</f>
        <v>0</v>
      </c>
      <c r="AY66" s="26" t="s">
        <v>191</v>
      </c>
      <c r="AZ66" s="26" t="s">
        <v>185</v>
      </c>
      <c r="BA66" s="17" t="s">
        <v>56</v>
      </c>
      <c r="BC66" s="25">
        <f>AW66+AX66</f>
        <v>0</v>
      </c>
      <c r="BD66" s="25">
        <f>G66/(100-BE66)*100</f>
        <v>0</v>
      </c>
      <c r="BE66" s="25">
        <v>0</v>
      </c>
      <c r="BF66" s="25">
        <f>L66</f>
        <v>0</v>
      </c>
      <c r="BH66" s="25">
        <f>F66*AO66</f>
        <v>0</v>
      </c>
      <c r="BI66" s="25">
        <f>F66*AP66</f>
        <v>0</v>
      </c>
      <c r="BJ66" s="25">
        <f>F66*G66</f>
        <v>0</v>
      </c>
    </row>
    <row r="67" spans="1:62" ht="12.75">
      <c r="A67" s="2" t="s">
        <v>192</v>
      </c>
      <c r="B67" s="2" t="s">
        <v>45</v>
      </c>
      <c r="C67" s="2" t="s">
        <v>193</v>
      </c>
      <c r="D67" s="2" t="s">
        <v>194</v>
      </c>
      <c r="E67" s="2" t="s">
        <v>145</v>
      </c>
      <c r="F67" s="25">
        <v>2097.9</v>
      </c>
      <c r="G67" s="25">
        <v>0</v>
      </c>
      <c r="H67" s="25">
        <f>F67*AO67</f>
        <v>0</v>
      </c>
      <c r="I67" s="25">
        <f>F67*AP67</f>
        <v>0</v>
      </c>
      <c r="J67" s="25">
        <f>F67*G67</f>
        <v>0</v>
      </c>
      <c r="K67" s="25">
        <v>0</v>
      </c>
      <c r="L67" s="25">
        <f>F67*K67</f>
        <v>0</v>
      </c>
      <c r="M67" s="26" t="s">
        <v>53</v>
      </c>
      <c r="Z67" s="25">
        <f>IF(AQ67="5",BJ67,0)</f>
        <v>0</v>
      </c>
      <c r="AB67" s="25">
        <f>IF(AQ67="1",BH67,0)</f>
        <v>0</v>
      </c>
      <c r="AC67" s="25">
        <f>IF(AQ67="1",BI67,0)</f>
        <v>0</v>
      </c>
      <c r="AD67" s="25">
        <f>IF(AQ67="7",BH67,0)</f>
        <v>0</v>
      </c>
      <c r="AE67" s="25">
        <f>IF(AQ67="7",BI67,0)</f>
        <v>0</v>
      </c>
      <c r="AF67" s="25">
        <f>IF(AQ67="2",BH67,0)</f>
        <v>0</v>
      </c>
      <c r="AG67" s="25">
        <f>IF(AQ67="2",BI67,0)</f>
        <v>0</v>
      </c>
      <c r="AH67" s="25">
        <f>IF(AQ67="0",BJ67,0)</f>
        <v>0</v>
      </c>
      <c r="AI67" s="17" t="s">
        <v>45</v>
      </c>
      <c r="AJ67" s="25">
        <f>IF(AN67=0,J67,0)</f>
        <v>0</v>
      </c>
      <c r="AK67" s="25">
        <f>IF(AN67=15,J67,0)</f>
        <v>0</v>
      </c>
      <c r="AL67" s="25">
        <f>IF(AN67=21,J67,0)</f>
        <v>0</v>
      </c>
      <c r="AN67" s="25">
        <v>21</v>
      </c>
      <c r="AO67" s="25">
        <f>G67*0</f>
        <v>0</v>
      </c>
      <c r="AP67" s="25">
        <f>G67*(1-0)</f>
        <v>0</v>
      </c>
      <c r="AQ67" s="26" t="s">
        <v>74</v>
      </c>
      <c r="AV67" s="25">
        <f>AW67+AX67</f>
        <v>0</v>
      </c>
      <c r="AW67" s="25">
        <f>F67*AO67</f>
        <v>0</v>
      </c>
      <c r="AX67" s="25">
        <f>F67*AP67</f>
        <v>0</v>
      </c>
      <c r="AY67" s="26" t="s">
        <v>191</v>
      </c>
      <c r="AZ67" s="26" t="s">
        <v>185</v>
      </c>
      <c r="BA67" s="17" t="s">
        <v>56</v>
      </c>
      <c r="BC67" s="25">
        <f>AW67+AX67</f>
        <v>0</v>
      </c>
      <c r="BD67" s="25">
        <f>G67/(100-BE67)*100</f>
        <v>0</v>
      </c>
      <c r="BE67" s="25">
        <v>0</v>
      </c>
      <c r="BF67" s="25">
        <f>L67</f>
        <v>0</v>
      </c>
      <c r="BH67" s="25">
        <f>F67*AO67</f>
        <v>0</v>
      </c>
      <c r="BI67" s="25">
        <f>F67*AP67</f>
        <v>0</v>
      </c>
      <c r="BJ67" s="25">
        <f>F67*G67</f>
        <v>0</v>
      </c>
    </row>
    <row r="68" spans="1:62" ht="12.75">
      <c r="A68" s="2" t="s">
        <v>195</v>
      </c>
      <c r="B68" s="2" t="s">
        <v>45</v>
      </c>
      <c r="C68" s="2" t="s">
        <v>196</v>
      </c>
      <c r="D68" s="2" t="s">
        <v>197</v>
      </c>
      <c r="E68" s="2" t="s">
        <v>145</v>
      </c>
      <c r="F68" s="25">
        <v>7104.9</v>
      </c>
      <c r="G68" s="25">
        <v>0</v>
      </c>
      <c r="H68" s="25">
        <f>F68*AO68</f>
        <v>0</v>
      </c>
      <c r="I68" s="25">
        <f>F68*AP68</f>
        <v>0</v>
      </c>
      <c r="J68" s="25">
        <f>F68*G68</f>
        <v>0</v>
      </c>
      <c r="K68" s="25">
        <v>0</v>
      </c>
      <c r="L68" s="25">
        <f>F68*K68</f>
        <v>0</v>
      </c>
      <c r="M68" s="26" t="s">
        <v>53</v>
      </c>
      <c r="Z68" s="25">
        <f>IF(AQ68="5",BJ68,0)</f>
        <v>0</v>
      </c>
      <c r="AB68" s="25">
        <f>IF(AQ68="1",BH68,0)</f>
        <v>0</v>
      </c>
      <c r="AC68" s="25">
        <f>IF(AQ68="1",BI68,0)</f>
        <v>0</v>
      </c>
      <c r="AD68" s="25">
        <f>IF(AQ68="7",BH68,0)</f>
        <v>0</v>
      </c>
      <c r="AE68" s="25">
        <f>IF(AQ68="7",BI68,0)</f>
        <v>0</v>
      </c>
      <c r="AF68" s="25">
        <f>IF(AQ68="2",BH68,0)</f>
        <v>0</v>
      </c>
      <c r="AG68" s="25">
        <f>IF(AQ68="2",BI68,0)</f>
        <v>0</v>
      </c>
      <c r="AH68" s="25">
        <f>IF(AQ68="0",BJ68,0)</f>
        <v>0</v>
      </c>
      <c r="AI68" s="17" t="s">
        <v>45</v>
      </c>
      <c r="AJ68" s="25">
        <f>IF(AN68=0,J68,0)</f>
        <v>0</v>
      </c>
      <c r="AK68" s="25">
        <f>IF(AN68=15,J68,0)</f>
        <v>0</v>
      </c>
      <c r="AL68" s="25">
        <f>IF(AN68=21,J68,0)</f>
        <v>0</v>
      </c>
      <c r="AN68" s="25">
        <v>21</v>
      </c>
      <c r="AO68" s="25">
        <f>G68*0</f>
        <v>0</v>
      </c>
      <c r="AP68" s="25">
        <f>G68*(1-0)</f>
        <v>0</v>
      </c>
      <c r="AQ68" s="26" t="s">
        <v>74</v>
      </c>
      <c r="AV68" s="25">
        <f>AW68+AX68</f>
        <v>0</v>
      </c>
      <c r="AW68" s="25">
        <f>F68*AO68</f>
        <v>0</v>
      </c>
      <c r="AX68" s="25">
        <f>F68*AP68</f>
        <v>0</v>
      </c>
      <c r="AY68" s="26" t="s">
        <v>191</v>
      </c>
      <c r="AZ68" s="26" t="s">
        <v>185</v>
      </c>
      <c r="BA68" s="17" t="s">
        <v>56</v>
      </c>
      <c r="BC68" s="25">
        <f>AW68+AX68</f>
        <v>0</v>
      </c>
      <c r="BD68" s="25">
        <f>G68/(100-BE68)*100</f>
        <v>0</v>
      </c>
      <c r="BE68" s="25">
        <v>0</v>
      </c>
      <c r="BF68" s="25">
        <f>L68</f>
        <v>0</v>
      </c>
      <c r="BH68" s="25">
        <f>F68*AO68</f>
        <v>0</v>
      </c>
      <c r="BI68" s="25">
        <f>F68*AP68</f>
        <v>0</v>
      </c>
      <c r="BJ68" s="25">
        <f>F68*G68</f>
        <v>0</v>
      </c>
    </row>
    <row r="69" spans="1:13" ht="12.75">
      <c r="A69" s="22"/>
      <c r="B69" s="23" t="s">
        <v>198</v>
      </c>
      <c r="C69" s="23"/>
      <c r="D69" s="23" t="s">
        <v>199</v>
      </c>
      <c r="E69" s="22" t="s">
        <v>3</v>
      </c>
      <c r="F69" s="22" t="s">
        <v>3</v>
      </c>
      <c r="G69" s="22" t="s">
        <v>3</v>
      </c>
      <c r="H69" s="24">
        <f>H70+H72+H76+H78+H80+H91+H97+H102+H106+H109+H113+H117</f>
        <v>0</v>
      </c>
      <c r="I69" s="24">
        <f>I70+I72+I76+I78+I80+I91+I97+I102+I106+I109+I113+I117</f>
        <v>0</v>
      </c>
      <c r="J69" s="24">
        <f>J70+J72+J76+J78+J80+J91+J97+J102+J106+J109+J113+J117</f>
        <v>0</v>
      </c>
      <c r="K69" s="17"/>
      <c r="L69" s="24">
        <f>L70+L72+L76+L78+L80+L91+L97+L102+L106+L109+L113+L117</f>
        <v>1501.5479053600002</v>
      </c>
      <c r="M69" s="17"/>
    </row>
    <row r="70" spans="1:47" ht="12.75">
      <c r="A70" s="22"/>
      <c r="B70" s="23" t="s">
        <v>198</v>
      </c>
      <c r="C70" s="23" t="s">
        <v>47</v>
      </c>
      <c r="D70" s="23" t="s">
        <v>48</v>
      </c>
      <c r="E70" s="22" t="s">
        <v>3</v>
      </c>
      <c r="F70" s="22" t="s">
        <v>3</v>
      </c>
      <c r="G70" s="22" t="s">
        <v>3</v>
      </c>
      <c r="H70" s="24">
        <f>SUM(H71:H71)</f>
        <v>0</v>
      </c>
      <c r="I70" s="24">
        <f>SUM(I71:I71)</f>
        <v>0</v>
      </c>
      <c r="J70" s="24">
        <f>SUM(J71:J71)</f>
        <v>0</v>
      </c>
      <c r="K70" s="17"/>
      <c r="L70" s="24">
        <f>SUM(L71:L71)</f>
        <v>0</v>
      </c>
      <c r="M70" s="17"/>
      <c r="AI70" s="17" t="s">
        <v>198</v>
      </c>
      <c r="AS70" s="24">
        <f>SUM(AJ71:AJ71)</f>
        <v>0</v>
      </c>
      <c r="AT70" s="24">
        <f>SUM(AK71:AK71)</f>
        <v>0</v>
      </c>
      <c r="AU70" s="24">
        <f>SUM(AL71:AL71)</f>
        <v>0</v>
      </c>
    </row>
    <row r="71" spans="1:62" ht="12.75">
      <c r="A71" s="2" t="s">
        <v>200</v>
      </c>
      <c r="B71" s="2" t="s">
        <v>198</v>
      </c>
      <c r="C71" s="2" t="s">
        <v>201</v>
      </c>
      <c r="D71" s="2" t="s">
        <v>202</v>
      </c>
      <c r="E71" s="2" t="s">
        <v>52</v>
      </c>
      <c r="F71" s="25">
        <v>528.612</v>
      </c>
      <c r="G71" s="25">
        <v>0</v>
      </c>
      <c r="H71" s="25">
        <f>F71*AO71</f>
        <v>0</v>
      </c>
      <c r="I71" s="25">
        <f>F71*AP71</f>
        <v>0</v>
      </c>
      <c r="J71" s="25">
        <f>F71*G71</f>
        <v>0</v>
      </c>
      <c r="K71" s="25">
        <v>0</v>
      </c>
      <c r="L71" s="25">
        <f>F71*K71</f>
        <v>0</v>
      </c>
      <c r="M71" s="26" t="s">
        <v>53</v>
      </c>
      <c r="Z71" s="25">
        <f>IF(AQ71="5",BJ71,0)</f>
        <v>0</v>
      </c>
      <c r="AB71" s="25">
        <f>IF(AQ71="1",BH71,0)</f>
        <v>0</v>
      </c>
      <c r="AC71" s="25">
        <f>IF(AQ71="1",BI71,0)</f>
        <v>0</v>
      </c>
      <c r="AD71" s="25">
        <f>IF(AQ71="7",BH71,0)</f>
        <v>0</v>
      </c>
      <c r="AE71" s="25">
        <f>IF(AQ71="7",BI71,0)</f>
        <v>0</v>
      </c>
      <c r="AF71" s="25">
        <f>IF(AQ71="2",BH71,0)</f>
        <v>0</v>
      </c>
      <c r="AG71" s="25">
        <f>IF(AQ71="2",BI71,0)</f>
        <v>0</v>
      </c>
      <c r="AH71" s="25">
        <f>IF(AQ71="0",BJ71,0)</f>
        <v>0</v>
      </c>
      <c r="AI71" s="17" t="s">
        <v>198</v>
      </c>
      <c r="AJ71" s="25">
        <f>IF(AN71=0,J71,0)</f>
        <v>0</v>
      </c>
      <c r="AK71" s="25">
        <f>IF(AN71=15,J71,0)</f>
        <v>0</v>
      </c>
      <c r="AL71" s="25">
        <f>IF(AN71=21,J71,0)</f>
        <v>0</v>
      </c>
      <c r="AN71" s="25">
        <v>21</v>
      </c>
      <c r="AO71" s="25">
        <f>G71*0</f>
        <v>0</v>
      </c>
      <c r="AP71" s="25">
        <f>G71*(1-0)</f>
        <v>0</v>
      </c>
      <c r="AQ71" s="26" t="s">
        <v>49</v>
      </c>
      <c r="AV71" s="25">
        <f>AW71+AX71</f>
        <v>0</v>
      </c>
      <c r="AW71" s="25">
        <f>F71*AO71</f>
        <v>0</v>
      </c>
      <c r="AX71" s="25">
        <f>F71*AP71</f>
        <v>0</v>
      </c>
      <c r="AY71" s="26" t="s">
        <v>54</v>
      </c>
      <c r="AZ71" s="26" t="s">
        <v>203</v>
      </c>
      <c r="BA71" s="17" t="s">
        <v>204</v>
      </c>
      <c r="BC71" s="25">
        <f>AW71+AX71</f>
        <v>0</v>
      </c>
      <c r="BD71" s="25">
        <f>G71/(100-BE71)*100</f>
        <v>0</v>
      </c>
      <c r="BE71" s="25">
        <v>0</v>
      </c>
      <c r="BF71" s="25">
        <f>L71</f>
        <v>0</v>
      </c>
      <c r="BH71" s="25">
        <f>F71*AO71</f>
        <v>0</v>
      </c>
      <c r="BI71" s="25">
        <f>F71*AP71</f>
        <v>0</v>
      </c>
      <c r="BJ71" s="25">
        <f>F71*G71</f>
        <v>0</v>
      </c>
    </row>
    <row r="72" spans="1:47" ht="12.75">
      <c r="A72" s="22"/>
      <c r="B72" s="23" t="s">
        <v>198</v>
      </c>
      <c r="C72" s="23" t="s">
        <v>57</v>
      </c>
      <c r="D72" s="23" t="s">
        <v>58</v>
      </c>
      <c r="E72" s="22" t="s">
        <v>3</v>
      </c>
      <c r="F72" s="22" t="s">
        <v>3</v>
      </c>
      <c r="G72" s="22" t="s">
        <v>3</v>
      </c>
      <c r="H72" s="24">
        <f>SUM(H73:H75)</f>
        <v>0</v>
      </c>
      <c r="I72" s="24">
        <f>SUM(I73:I75)</f>
        <v>0</v>
      </c>
      <c r="J72" s="24">
        <f>SUM(J73:J75)</f>
        <v>0</v>
      </c>
      <c r="K72" s="17"/>
      <c r="L72" s="24">
        <f>SUM(L73:L75)</f>
        <v>0</v>
      </c>
      <c r="M72" s="17"/>
      <c r="AI72" s="17" t="s">
        <v>198</v>
      </c>
      <c r="AS72" s="24">
        <f>SUM(AJ73:AJ75)</f>
        <v>0</v>
      </c>
      <c r="AT72" s="24">
        <f>SUM(AK73:AK75)</f>
        <v>0</v>
      </c>
      <c r="AU72" s="24">
        <f>SUM(AL73:AL75)</f>
        <v>0</v>
      </c>
    </row>
    <row r="73" spans="1:62" ht="12.75">
      <c r="A73" s="2" t="s">
        <v>205</v>
      </c>
      <c r="B73" s="2" t="s">
        <v>198</v>
      </c>
      <c r="C73" s="2" t="s">
        <v>206</v>
      </c>
      <c r="D73" s="2" t="s">
        <v>207</v>
      </c>
      <c r="E73" s="2" t="s">
        <v>176</v>
      </c>
      <c r="F73" s="25">
        <v>17</v>
      </c>
      <c r="G73" s="25">
        <v>0</v>
      </c>
      <c r="H73" s="25">
        <f>F73*AO73</f>
        <v>0</v>
      </c>
      <c r="I73" s="25">
        <f>F73*AP73</f>
        <v>0</v>
      </c>
      <c r="J73" s="25">
        <f>F73*G73</f>
        <v>0</v>
      </c>
      <c r="K73" s="25">
        <v>0</v>
      </c>
      <c r="L73" s="25">
        <f>F73*K73</f>
        <v>0</v>
      </c>
      <c r="M73" s="26" t="s">
        <v>53</v>
      </c>
      <c r="Z73" s="25">
        <f>IF(AQ73="5",BJ73,0)</f>
        <v>0</v>
      </c>
      <c r="AB73" s="25">
        <f>IF(AQ73="1",BH73,0)</f>
        <v>0</v>
      </c>
      <c r="AC73" s="25">
        <f>IF(AQ73="1",BI73,0)</f>
        <v>0</v>
      </c>
      <c r="AD73" s="25">
        <f>IF(AQ73="7",BH73,0)</f>
        <v>0</v>
      </c>
      <c r="AE73" s="25">
        <f>IF(AQ73="7",BI73,0)</f>
        <v>0</v>
      </c>
      <c r="AF73" s="25">
        <f>IF(AQ73="2",BH73,0)</f>
        <v>0</v>
      </c>
      <c r="AG73" s="25">
        <f>IF(AQ73="2",BI73,0)</f>
        <v>0</v>
      </c>
      <c r="AH73" s="25">
        <f>IF(AQ73="0",BJ73,0)</f>
        <v>0</v>
      </c>
      <c r="AI73" s="17" t="s">
        <v>198</v>
      </c>
      <c r="AJ73" s="25">
        <f>IF(AN73=0,J73,0)</f>
        <v>0</v>
      </c>
      <c r="AK73" s="25">
        <f>IF(AN73=15,J73,0)</f>
        <v>0</v>
      </c>
      <c r="AL73" s="25">
        <f>IF(AN73=21,J73,0)</f>
        <v>0</v>
      </c>
      <c r="AN73" s="25">
        <v>21</v>
      </c>
      <c r="AO73" s="25">
        <f>G73*0</f>
        <v>0</v>
      </c>
      <c r="AP73" s="25">
        <f>G73*(1-0)</f>
        <v>0</v>
      </c>
      <c r="AQ73" s="26" t="s">
        <v>49</v>
      </c>
      <c r="AV73" s="25">
        <f>AW73+AX73</f>
        <v>0</v>
      </c>
      <c r="AW73" s="25">
        <f>F73*AO73</f>
        <v>0</v>
      </c>
      <c r="AX73" s="25">
        <f>F73*AP73</f>
        <v>0</v>
      </c>
      <c r="AY73" s="26" t="s">
        <v>62</v>
      </c>
      <c r="AZ73" s="26" t="s">
        <v>203</v>
      </c>
      <c r="BA73" s="17" t="s">
        <v>204</v>
      </c>
      <c r="BC73" s="25">
        <f>AW73+AX73</f>
        <v>0</v>
      </c>
      <c r="BD73" s="25">
        <f>G73/(100-BE73)*100</f>
        <v>0</v>
      </c>
      <c r="BE73" s="25">
        <v>0</v>
      </c>
      <c r="BF73" s="25">
        <f>L73</f>
        <v>0</v>
      </c>
      <c r="BH73" s="25">
        <f>F73*AO73</f>
        <v>0</v>
      </c>
      <c r="BI73" s="25">
        <f>F73*AP73</f>
        <v>0</v>
      </c>
      <c r="BJ73" s="25">
        <f>F73*G73</f>
        <v>0</v>
      </c>
    </row>
    <row r="74" spans="1:62" ht="12.75">
      <c r="A74" s="2" t="s">
        <v>208</v>
      </c>
      <c r="B74" s="2" t="s">
        <v>198</v>
      </c>
      <c r="C74" s="2" t="s">
        <v>209</v>
      </c>
      <c r="D74" s="2" t="s">
        <v>210</v>
      </c>
      <c r="E74" s="2" t="s">
        <v>52</v>
      </c>
      <c r="F74" s="25">
        <v>134.4</v>
      </c>
      <c r="G74" s="25">
        <v>0</v>
      </c>
      <c r="H74" s="25">
        <f>F74*AO74</f>
        <v>0</v>
      </c>
      <c r="I74" s="25">
        <f>F74*AP74</f>
        <v>0</v>
      </c>
      <c r="J74" s="25">
        <f>F74*G74</f>
        <v>0</v>
      </c>
      <c r="K74" s="25">
        <v>0</v>
      </c>
      <c r="L74" s="25">
        <f>F74*K74</f>
        <v>0</v>
      </c>
      <c r="M74" s="26" t="s">
        <v>53</v>
      </c>
      <c r="Z74" s="25">
        <f>IF(AQ74="5",BJ74,0)</f>
        <v>0</v>
      </c>
      <c r="AB74" s="25">
        <f>IF(AQ74="1",BH74,0)</f>
        <v>0</v>
      </c>
      <c r="AC74" s="25">
        <f>IF(AQ74="1",BI74,0)</f>
        <v>0</v>
      </c>
      <c r="AD74" s="25">
        <f>IF(AQ74="7",BH74,0)</f>
        <v>0</v>
      </c>
      <c r="AE74" s="25">
        <f>IF(AQ74="7",BI74,0)</f>
        <v>0</v>
      </c>
      <c r="AF74" s="25">
        <f>IF(AQ74="2",BH74,0)</f>
        <v>0</v>
      </c>
      <c r="AG74" s="25">
        <f>IF(AQ74="2",BI74,0)</f>
        <v>0</v>
      </c>
      <c r="AH74" s="25">
        <f>IF(AQ74="0",BJ74,0)</f>
        <v>0</v>
      </c>
      <c r="AI74" s="17" t="s">
        <v>198</v>
      </c>
      <c r="AJ74" s="25">
        <f>IF(AN74=0,J74,0)</f>
        <v>0</v>
      </c>
      <c r="AK74" s="25">
        <f>IF(AN74=15,J74,0)</f>
        <v>0</v>
      </c>
      <c r="AL74" s="25">
        <f>IF(AN74=21,J74,0)</f>
        <v>0</v>
      </c>
      <c r="AN74" s="25">
        <v>21</v>
      </c>
      <c r="AO74" s="25">
        <f>G74*0</f>
        <v>0</v>
      </c>
      <c r="AP74" s="25">
        <f>G74*(1-0)</f>
        <v>0</v>
      </c>
      <c r="AQ74" s="26" t="s">
        <v>49</v>
      </c>
      <c r="AV74" s="25">
        <f>AW74+AX74</f>
        <v>0</v>
      </c>
      <c r="AW74" s="25">
        <f>F74*AO74</f>
        <v>0</v>
      </c>
      <c r="AX74" s="25">
        <f>F74*AP74</f>
        <v>0</v>
      </c>
      <c r="AY74" s="26" t="s">
        <v>62</v>
      </c>
      <c r="AZ74" s="26" t="s">
        <v>203</v>
      </c>
      <c r="BA74" s="17" t="s">
        <v>204</v>
      </c>
      <c r="BC74" s="25">
        <f>AW74+AX74</f>
        <v>0</v>
      </c>
      <c r="BD74" s="25">
        <f>G74/(100-BE74)*100</f>
        <v>0</v>
      </c>
      <c r="BE74" s="25">
        <v>0</v>
      </c>
      <c r="BF74" s="25">
        <f>L74</f>
        <v>0</v>
      </c>
      <c r="BH74" s="25">
        <f>F74*AO74</f>
        <v>0</v>
      </c>
      <c r="BI74" s="25">
        <f>F74*AP74</f>
        <v>0</v>
      </c>
      <c r="BJ74" s="25">
        <f>F74*G74</f>
        <v>0</v>
      </c>
    </row>
    <row r="75" spans="1:62" ht="12.75">
      <c r="A75" s="2" t="s">
        <v>211</v>
      </c>
      <c r="B75" s="2" t="s">
        <v>198</v>
      </c>
      <c r="C75" s="2" t="s">
        <v>212</v>
      </c>
      <c r="D75" s="2" t="s">
        <v>213</v>
      </c>
      <c r="E75" s="2" t="s">
        <v>52</v>
      </c>
      <c r="F75" s="25">
        <v>286.5</v>
      </c>
      <c r="G75" s="25">
        <v>0</v>
      </c>
      <c r="H75" s="25">
        <f>F75*AO75</f>
        <v>0</v>
      </c>
      <c r="I75" s="25">
        <f>F75*AP75</f>
        <v>0</v>
      </c>
      <c r="J75" s="25">
        <f>F75*G75</f>
        <v>0</v>
      </c>
      <c r="K75" s="25">
        <v>0</v>
      </c>
      <c r="L75" s="25">
        <f>F75*K75</f>
        <v>0</v>
      </c>
      <c r="M75" s="26" t="s">
        <v>53</v>
      </c>
      <c r="Z75" s="25">
        <f>IF(AQ75="5",BJ75,0)</f>
        <v>0</v>
      </c>
      <c r="AB75" s="25">
        <f>IF(AQ75="1",BH75,0)</f>
        <v>0</v>
      </c>
      <c r="AC75" s="25">
        <f>IF(AQ75="1",BI75,0)</f>
        <v>0</v>
      </c>
      <c r="AD75" s="25">
        <f>IF(AQ75="7",BH75,0)</f>
        <v>0</v>
      </c>
      <c r="AE75" s="25">
        <f>IF(AQ75="7",BI75,0)</f>
        <v>0</v>
      </c>
      <c r="AF75" s="25">
        <f>IF(AQ75="2",BH75,0)</f>
        <v>0</v>
      </c>
      <c r="AG75" s="25">
        <f>IF(AQ75="2",BI75,0)</f>
        <v>0</v>
      </c>
      <c r="AH75" s="25">
        <f>IF(AQ75="0",BJ75,0)</f>
        <v>0</v>
      </c>
      <c r="AI75" s="17" t="s">
        <v>198</v>
      </c>
      <c r="AJ75" s="25">
        <f>IF(AN75=0,J75,0)</f>
        <v>0</v>
      </c>
      <c r="AK75" s="25">
        <f>IF(AN75=15,J75,0)</f>
        <v>0</v>
      </c>
      <c r="AL75" s="25">
        <f>IF(AN75=21,J75,0)</f>
        <v>0</v>
      </c>
      <c r="AN75" s="25">
        <v>21</v>
      </c>
      <c r="AO75" s="25">
        <f>G75*0</f>
        <v>0</v>
      </c>
      <c r="AP75" s="25">
        <f>G75*(1-0)</f>
        <v>0</v>
      </c>
      <c r="AQ75" s="26" t="s">
        <v>49</v>
      </c>
      <c r="AV75" s="25">
        <f>AW75+AX75</f>
        <v>0</v>
      </c>
      <c r="AW75" s="25">
        <f>F75*AO75</f>
        <v>0</v>
      </c>
      <c r="AX75" s="25">
        <f>F75*AP75</f>
        <v>0</v>
      </c>
      <c r="AY75" s="26" t="s">
        <v>62</v>
      </c>
      <c r="AZ75" s="26" t="s">
        <v>203</v>
      </c>
      <c r="BA75" s="17" t="s">
        <v>204</v>
      </c>
      <c r="BC75" s="25">
        <f>AW75+AX75</f>
        <v>0</v>
      </c>
      <c r="BD75" s="25">
        <f>G75/(100-BE75)*100</f>
        <v>0</v>
      </c>
      <c r="BE75" s="25">
        <v>0</v>
      </c>
      <c r="BF75" s="25">
        <f>L75</f>
        <v>0</v>
      </c>
      <c r="BH75" s="25">
        <f>F75*AO75</f>
        <v>0</v>
      </c>
      <c r="BI75" s="25">
        <f>F75*AP75</f>
        <v>0</v>
      </c>
      <c r="BJ75" s="25">
        <f>F75*G75</f>
        <v>0</v>
      </c>
    </row>
    <row r="76" spans="1:47" ht="12.75">
      <c r="A76" s="22"/>
      <c r="B76" s="23" t="s">
        <v>198</v>
      </c>
      <c r="C76" s="23" t="s">
        <v>78</v>
      </c>
      <c r="D76" s="23" t="s">
        <v>79</v>
      </c>
      <c r="E76" s="22" t="s">
        <v>3</v>
      </c>
      <c r="F76" s="22" t="s">
        <v>3</v>
      </c>
      <c r="G76" s="22" t="s">
        <v>3</v>
      </c>
      <c r="H76" s="24">
        <f>SUM(H77:H77)</f>
        <v>0</v>
      </c>
      <c r="I76" s="24">
        <f>SUM(I77:I77)</f>
        <v>0</v>
      </c>
      <c r="J76" s="24">
        <f>SUM(J77:J77)</f>
        <v>0</v>
      </c>
      <c r="K76" s="17"/>
      <c r="L76" s="24">
        <f>SUM(L77:L77)</f>
        <v>0</v>
      </c>
      <c r="M76" s="17"/>
      <c r="AI76" s="17" t="s">
        <v>198</v>
      </c>
      <c r="AS76" s="24">
        <f>SUM(AJ77:AJ77)</f>
        <v>0</v>
      </c>
      <c r="AT76" s="24">
        <f>SUM(AK77:AK77)</f>
        <v>0</v>
      </c>
      <c r="AU76" s="24">
        <f>SUM(AL77:AL77)</f>
        <v>0</v>
      </c>
    </row>
    <row r="77" spans="1:62" ht="12.75">
      <c r="A77" s="2" t="s">
        <v>214</v>
      </c>
      <c r="B77" s="2" t="s">
        <v>198</v>
      </c>
      <c r="C77" s="2" t="s">
        <v>81</v>
      </c>
      <c r="D77" s="2" t="s">
        <v>82</v>
      </c>
      <c r="E77" s="2" t="s">
        <v>52</v>
      </c>
      <c r="F77" s="25">
        <v>286.3</v>
      </c>
      <c r="G77" s="25">
        <v>0</v>
      </c>
      <c r="H77" s="25">
        <f>F77*AO77</f>
        <v>0</v>
      </c>
      <c r="I77" s="25">
        <f>F77*AP77</f>
        <v>0</v>
      </c>
      <c r="J77" s="25">
        <f>F77*G77</f>
        <v>0</v>
      </c>
      <c r="K77" s="25">
        <v>0</v>
      </c>
      <c r="L77" s="25">
        <f>F77*K77</f>
        <v>0</v>
      </c>
      <c r="M77" s="26" t="s">
        <v>53</v>
      </c>
      <c r="Z77" s="25">
        <f>IF(AQ77="5",BJ77,0)</f>
        <v>0</v>
      </c>
      <c r="AB77" s="25">
        <f>IF(AQ77="1",BH77,0)</f>
        <v>0</v>
      </c>
      <c r="AC77" s="25">
        <f>IF(AQ77="1",BI77,0)</f>
        <v>0</v>
      </c>
      <c r="AD77" s="25">
        <f>IF(AQ77="7",BH77,0)</f>
        <v>0</v>
      </c>
      <c r="AE77" s="25">
        <f>IF(AQ77="7",BI77,0)</f>
        <v>0</v>
      </c>
      <c r="AF77" s="25">
        <f>IF(AQ77="2",BH77,0)</f>
        <v>0</v>
      </c>
      <c r="AG77" s="25">
        <f>IF(AQ77="2",BI77,0)</f>
        <v>0</v>
      </c>
      <c r="AH77" s="25">
        <f>IF(AQ77="0",BJ77,0)</f>
        <v>0</v>
      </c>
      <c r="AI77" s="17" t="s">
        <v>198</v>
      </c>
      <c r="AJ77" s="25">
        <f>IF(AN77=0,J77,0)</f>
        <v>0</v>
      </c>
      <c r="AK77" s="25">
        <f>IF(AN77=15,J77,0)</f>
        <v>0</v>
      </c>
      <c r="AL77" s="25">
        <f>IF(AN77=21,J77,0)</f>
        <v>0</v>
      </c>
      <c r="AN77" s="25">
        <v>21</v>
      </c>
      <c r="AO77" s="25">
        <f>G77*0</f>
        <v>0</v>
      </c>
      <c r="AP77" s="25">
        <f>G77*(1-0)</f>
        <v>0</v>
      </c>
      <c r="AQ77" s="26" t="s">
        <v>49</v>
      </c>
      <c r="AV77" s="25">
        <f>AW77+AX77</f>
        <v>0</v>
      </c>
      <c r="AW77" s="25">
        <f>F77*AO77</f>
        <v>0</v>
      </c>
      <c r="AX77" s="25">
        <f>F77*AP77</f>
        <v>0</v>
      </c>
      <c r="AY77" s="26" t="s">
        <v>83</v>
      </c>
      <c r="AZ77" s="26" t="s">
        <v>203</v>
      </c>
      <c r="BA77" s="17" t="s">
        <v>204</v>
      </c>
      <c r="BC77" s="25">
        <f>AW77+AX77</f>
        <v>0</v>
      </c>
      <c r="BD77" s="25">
        <f>G77/(100-BE77)*100</f>
        <v>0</v>
      </c>
      <c r="BE77" s="25">
        <v>0</v>
      </c>
      <c r="BF77" s="25">
        <f>L77</f>
        <v>0</v>
      </c>
      <c r="BH77" s="25">
        <f>F77*AO77</f>
        <v>0</v>
      </c>
      <c r="BI77" s="25">
        <f>F77*AP77</f>
        <v>0</v>
      </c>
      <c r="BJ77" s="25">
        <f>F77*G77</f>
        <v>0</v>
      </c>
    </row>
    <row r="78" spans="1:47" ht="12.75">
      <c r="A78" s="22"/>
      <c r="B78" s="23" t="s">
        <v>198</v>
      </c>
      <c r="C78" s="23" t="s">
        <v>128</v>
      </c>
      <c r="D78" s="23" t="s">
        <v>215</v>
      </c>
      <c r="E78" s="22" t="s">
        <v>3</v>
      </c>
      <c r="F78" s="22" t="s">
        <v>3</v>
      </c>
      <c r="G78" s="22" t="s">
        <v>3</v>
      </c>
      <c r="H78" s="24">
        <f>SUM(H79:H79)</f>
        <v>0</v>
      </c>
      <c r="I78" s="24">
        <f>SUM(I79:I79)</f>
        <v>0</v>
      </c>
      <c r="J78" s="24">
        <f>SUM(J79:J79)</f>
        <v>0</v>
      </c>
      <c r="K78" s="17"/>
      <c r="L78" s="24">
        <f>SUM(L79:L79)</f>
        <v>0</v>
      </c>
      <c r="M78" s="17"/>
      <c r="AI78" s="17" t="s">
        <v>198</v>
      </c>
      <c r="AS78" s="24">
        <f>SUM(AJ79:AJ79)</f>
        <v>0</v>
      </c>
      <c r="AT78" s="24">
        <f>SUM(AK79:AK79)</f>
        <v>0</v>
      </c>
      <c r="AU78" s="24">
        <f>SUM(AL79:AL79)</f>
        <v>0</v>
      </c>
    </row>
    <row r="79" spans="1:62" ht="12.75">
      <c r="A79" s="2" t="s">
        <v>216</v>
      </c>
      <c r="B79" s="2" t="s">
        <v>198</v>
      </c>
      <c r="C79" s="2" t="s">
        <v>217</v>
      </c>
      <c r="D79" s="2" t="s">
        <v>434</v>
      </c>
      <c r="E79" s="2" t="s">
        <v>52</v>
      </c>
      <c r="F79" s="25">
        <v>153.755</v>
      </c>
      <c r="G79" s="25">
        <v>0</v>
      </c>
      <c r="H79" s="25">
        <f>F79*AO79</f>
        <v>0</v>
      </c>
      <c r="I79" s="25">
        <f>F79*AP79</f>
        <v>0</v>
      </c>
      <c r="J79" s="25">
        <f>F79*G79</f>
        <v>0</v>
      </c>
      <c r="K79" s="25">
        <v>0</v>
      </c>
      <c r="L79" s="25">
        <f>F79*K79</f>
        <v>0</v>
      </c>
      <c r="M79" s="26" t="s">
        <v>53</v>
      </c>
      <c r="Z79" s="25">
        <f>IF(AQ79="5",BJ79,0)</f>
        <v>0</v>
      </c>
      <c r="AB79" s="25">
        <f>IF(AQ79="1",BH79,0)</f>
        <v>0</v>
      </c>
      <c r="AC79" s="25">
        <f>IF(AQ79="1",BI79,0)</f>
        <v>0</v>
      </c>
      <c r="AD79" s="25">
        <f>IF(AQ79="7",BH79,0)</f>
        <v>0</v>
      </c>
      <c r="AE79" s="25">
        <f>IF(AQ79="7",BI79,0)</f>
        <v>0</v>
      </c>
      <c r="AF79" s="25">
        <f>IF(AQ79="2",BH79,0)</f>
        <v>0</v>
      </c>
      <c r="AG79" s="25">
        <f>IF(AQ79="2",BI79,0)</f>
        <v>0</v>
      </c>
      <c r="AH79" s="25">
        <f>IF(AQ79="0",BJ79,0)</f>
        <v>0</v>
      </c>
      <c r="AI79" s="17" t="s">
        <v>198</v>
      </c>
      <c r="AJ79" s="25">
        <f>IF(AN79=0,J79,0)</f>
        <v>0</v>
      </c>
      <c r="AK79" s="25">
        <f>IF(AN79=15,J79,0)</f>
        <v>0</v>
      </c>
      <c r="AL79" s="25">
        <f>IF(AN79=21,J79,0)</f>
        <v>0</v>
      </c>
      <c r="AN79" s="25">
        <v>21</v>
      </c>
      <c r="AO79" s="25">
        <f>G79*0</f>
        <v>0</v>
      </c>
      <c r="AP79" s="25">
        <f>G79*(1-0)</f>
        <v>0</v>
      </c>
      <c r="AQ79" s="26" t="s">
        <v>49</v>
      </c>
      <c r="AV79" s="25">
        <f>AW79+AX79</f>
        <v>0</v>
      </c>
      <c r="AW79" s="25">
        <f>F79*AO79</f>
        <v>0</v>
      </c>
      <c r="AX79" s="25">
        <f>F79*AP79</f>
        <v>0</v>
      </c>
      <c r="AY79" s="26" t="s">
        <v>219</v>
      </c>
      <c r="AZ79" s="26" t="s">
        <v>203</v>
      </c>
      <c r="BA79" s="17" t="s">
        <v>204</v>
      </c>
      <c r="BC79" s="25">
        <f>AW79+AX79</f>
        <v>0</v>
      </c>
      <c r="BD79" s="25">
        <f>G79/(100-BE79)*100</f>
        <v>0</v>
      </c>
      <c r="BE79" s="25">
        <v>0</v>
      </c>
      <c r="BF79" s="25">
        <f>L79</f>
        <v>0</v>
      </c>
      <c r="BH79" s="25">
        <f>F79*AO79</f>
        <v>0</v>
      </c>
      <c r="BI79" s="25">
        <f>F79*AP79</f>
        <v>0</v>
      </c>
      <c r="BJ79" s="25">
        <f>F79*G79</f>
        <v>0</v>
      </c>
    </row>
    <row r="80" spans="1:47" ht="12.75">
      <c r="A80" s="22"/>
      <c r="B80" s="23" t="s">
        <v>198</v>
      </c>
      <c r="C80" s="23" t="s">
        <v>173</v>
      </c>
      <c r="D80" s="23" t="s">
        <v>220</v>
      </c>
      <c r="E80" s="22" t="s">
        <v>3</v>
      </c>
      <c r="F80" s="22" t="s">
        <v>3</v>
      </c>
      <c r="G80" s="22" t="s">
        <v>3</v>
      </c>
      <c r="H80" s="24">
        <f>SUM(H81:H90)</f>
        <v>0</v>
      </c>
      <c r="I80" s="24">
        <f>SUM(I81:I90)</f>
        <v>0</v>
      </c>
      <c r="J80" s="24">
        <f>SUM(J81:J90)</f>
        <v>0</v>
      </c>
      <c r="K80" s="17"/>
      <c r="L80" s="24">
        <f>SUM(L81:L90)</f>
        <v>1023.4139717600001</v>
      </c>
      <c r="M80" s="17"/>
      <c r="AI80" s="17" t="s">
        <v>198</v>
      </c>
      <c r="AS80" s="24">
        <f>SUM(AJ81:AJ90)</f>
        <v>0</v>
      </c>
      <c r="AT80" s="24">
        <f>SUM(AK81:AK90)</f>
        <v>0</v>
      </c>
      <c r="AU80" s="24">
        <f>SUM(AL81:AL90)</f>
        <v>0</v>
      </c>
    </row>
    <row r="81" spans="1:62" ht="12.75">
      <c r="A81" s="2" t="s">
        <v>221</v>
      </c>
      <c r="B81" s="2" t="s">
        <v>198</v>
      </c>
      <c r="C81" s="2" t="s">
        <v>222</v>
      </c>
      <c r="D81" s="2" t="s">
        <v>223</v>
      </c>
      <c r="E81" s="2" t="s">
        <v>52</v>
      </c>
      <c r="F81" s="25">
        <v>134.4</v>
      </c>
      <c r="G81" s="25">
        <v>0</v>
      </c>
      <c r="H81" s="25">
        <f>F81*AO81</f>
        <v>0</v>
      </c>
      <c r="I81" s="25">
        <f>F81*AP81</f>
        <v>0</v>
      </c>
      <c r="J81" s="25">
        <f>F81*G81</f>
        <v>0</v>
      </c>
      <c r="K81" s="25">
        <v>2.525</v>
      </c>
      <c r="L81" s="25">
        <f>F81*K81</f>
        <v>339.36</v>
      </c>
      <c r="M81" s="26" t="s">
        <v>53</v>
      </c>
      <c r="Z81" s="25">
        <f>IF(AQ81="5",BJ81,0)</f>
        <v>0</v>
      </c>
      <c r="AB81" s="25">
        <f>IF(AQ81="1",BH81,0)</f>
        <v>0</v>
      </c>
      <c r="AC81" s="25">
        <f>IF(AQ81="1",BI81,0)</f>
        <v>0</v>
      </c>
      <c r="AD81" s="25">
        <f>IF(AQ81="7",BH81,0)</f>
        <v>0</v>
      </c>
      <c r="AE81" s="25">
        <f>IF(AQ81="7",BI81,0)</f>
        <v>0</v>
      </c>
      <c r="AF81" s="25">
        <f>IF(AQ81="2",BH81,0)</f>
        <v>0</v>
      </c>
      <c r="AG81" s="25">
        <f>IF(AQ81="2",BI81,0)</f>
        <v>0</v>
      </c>
      <c r="AH81" s="25">
        <f>IF(AQ81="0",BJ81,0)</f>
        <v>0</v>
      </c>
      <c r="AI81" s="17" t="s">
        <v>198</v>
      </c>
      <c r="AJ81" s="25">
        <f>IF(AN81=0,J81,0)</f>
        <v>0</v>
      </c>
      <c r="AK81" s="25">
        <f>IF(AN81=15,J81,0)</f>
        <v>0</v>
      </c>
      <c r="AL81" s="25">
        <f>IF(AN81=21,J81,0)</f>
        <v>0</v>
      </c>
      <c r="AN81" s="25">
        <v>21</v>
      </c>
      <c r="AO81" s="25">
        <f>G81*0.899118526315789</f>
        <v>0</v>
      </c>
      <c r="AP81" s="25">
        <f>G81*(1-0.899118526315789)</f>
        <v>0</v>
      </c>
      <c r="AQ81" s="26" t="s">
        <v>49</v>
      </c>
      <c r="AV81" s="25">
        <f>AW81+AX81</f>
        <v>0</v>
      </c>
      <c r="AW81" s="25">
        <f>F81*AO81</f>
        <v>0</v>
      </c>
      <c r="AX81" s="25">
        <f>F81*AP81</f>
        <v>0</v>
      </c>
      <c r="AY81" s="26" t="s">
        <v>224</v>
      </c>
      <c r="AZ81" s="26" t="s">
        <v>225</v>
      </c>
      <c r="BA81" s="17" t="s">
        <v>204</v>
      </c>
      <c r="BC81" s="25">
        <f>AW81+AX81</f>
        <v>0</v>
      </c>
      <c r="BD81" s="25">
        <f>G81/(100-BE81)*100</f>
        <v>0</v>
      </c>
      <c r="BE81" s="25">
        <v>0</v>
      </c>
      <c r="BF81" s="25">
        <f>L81</f>
        <v>339.36</v>
      </c>
      <c r="BH81" s="25">
        <f>F81*AO81</f>
        <v>0</v>
      </c>
      <c r="BI81" s="25">
        <f>F81*AP81</f>
        <v>0</v>
      </c>
      <c r="BJ81" s="25">
        <f>F81*G81</f>
        <v>0</v>
      </c>
    </row>
    <row r="82" spans="1:62" ht="12.75">
      <c r="A82" s="2" t="s">
        <v>226</v>
      </c>
      <c r="B82" s="2" t="s">
        <v>198</v>
      </c>
      <c r="C82" s="2" t="s">
        <v>227</v>
      </c>
      <c r="D82" s="2" t="s">
        <v>228</v>
      </c>
      <c r="E82" s="2" t="s">
        <v>89</v>
      </c>
      <c r="F82" s="25">
        <v>67.2</v>
      </c>
      <c r="G82" s="25">
        <v>0</v>
      </c>
      <c r="H82" s="25">
        <f>F82*AO82</f>
        <v>0</v>
      </c>
      <c r="I82" s="25">
        <f>F82*AP82</f>
        <v>0</v>
      </c>
      <c r="J82" s="25">
        <f>F82*G82</f>
        <v>0</v>
      </c>
      <c r="K82" s="25">
        <v>0.03634</v>
      </c>
      <c r="L82" s="25">
        <f>F82*K82</f>
        <v>2.4420479999999998</v>
      </c>
      <c r="M82" s="26" t="s">
        <v>53</v>
      </c>
      <c r="Z82" s="25">
        <f>IF(AQ82="5",BJ82,0)</f>
        <v>0</v>
      </c>
      <c r="AB82" s="25">
        <f>IF(AQ82="1",BH82,0)</f>
        <v>0</v>
      </c>
      <c r="AC82" s="25">
        <f>IF(AQ82="1",BI82,0)</f>
        <v>0</v>
      </c>
      <c r="AD82" s="25">
        <f>IF(AQ82="7",BH82,0)</f>
        <v>0</v>
      </c>
      <c r="AE82" s="25">
        <f>IF(AQ82="7",BI82,0)</f>
        <v>0</v>
      </c>
      <c r="AF82" s="25">
        <f>IF(AQ82="2",BH82,0)</f>
        <v>0</v>
      </c>
      <c r="AG82" s="25">
        <f>IF(AQ82="2",BI82,0)</f>
        <v>0</v>
      </c>
      <c r="AH82" s="25">
        <f>IF(AQ82="0",BJ82,0)</f>
        <v>0</v>
      </c>
      <c r="AI82" s="17" t="s">
        <v>198</v>
      </c>
      <c r="AJ82" s="25">
        <f>IF(AN82=0,J82,0)</f>
        <v>0</v>
      </c>
      <c r="AK82" s="25">
        <f>IF(AN82=15,J82,0)</f>
        <v>0</v>
      </c>
      <c r="AL82" s="25">
        <f>IF(AN82=21,J82,0)</f>
        <v>0</v>
      </c>
      <c r="AN82" s="25">
        <v>21</v>
      </c>
      <c r="AO82" s="25">
        <f>G82*0.60005579630323</f>
        <v>0</v>
      </c>
      <c r="AP82" s="25">
        <f>G82*(1-0.60005579630323)</f>
        <v>0</v>
      </c>
      <c r="AQ82" s="26" t="s">
        <v>49</v>
      </c>
      <c r="AV82" s="25">
        <f>AW82+AX82</f>
        <v>0</v>
      </c>
      <c r="AW82" s="25">
        <f>F82*AO82</f>
        <v>0</v>
      </c>
      <c r="AX82" s="25">
        <f>F82*AP82</f>
        <v>0</v>
      </c>
      <c r="AY82" s="26" t="s">
        <v>224</v>
      </c>
      <c r="AZ82" s="26" t="s">
        <v>225</v>
      </c>
      <c r="BA82" s="17" t="s">
        <v>204</v>
      </c>
      <c r="BC82" s="25">
        <f>AW82+AX82</f>
        <v>0</v>
      </c>
      <c r="BD82" s="25">
        <f>G82/(100-BE82)*100</f>
        <v>0</v>
      </c>
      <c r="BE82" s="25">
        <v>0</v>
      </c>
      <c r="BF82" s="25">
        <f>L82</f>
        <v>2.4420479999999998</v>
      </c>
      <c r="BH82" s="25">
        <f>F82*AO82</f>
        <v>0</v>
      </c>
      <c r="BI82" s="25">
        <f>F82*AP82</f>
        <v>0</v>
      </c>
      <c r="BJ82" s="25">
        <f>F82*G82</f>
        <v>0</v>
      </c>
    </row>
    <row r="83" spans="3:13" ht="12.75" customHeight="1">
      <c r="C83" s="27" t="s">
        <v>72</v>
      </c>
      <c r="D83" s="103" t="s">
        <v>229</v>
      </c>
      <c r="E83" s="103"/>
      <c r="F83" s="103"/>
      <c r="G83" s="103"/>
      <c r="H83" s="103"/>
      <c r="I83" s="103"/>
      <c r="J83" s="103"/>
      <c r="K83" s="103"/>
      <c r="L83" s="103"/>
      <c r="M83" s="103"/>
    </row>
    <row r="84" spans="1:62" ht="12.75">
      <c r="A84" s="2" t="s">
        <v>230</v>
      </c>
      <c r="B84" s="2" t="s">
        <v>198</v>
      </c>
      <c r="C84" s="2" t="s">
        <v>231</v>
      </c>
      <c r="D84" s="2" t="s">
        <v>232</v>
      </c>
      <c r="E84" s="2" t="s">
        <v>89</v>
      </c>
      <c r="F84" s="25">
        <v>67.2</v>
      </c>
      <c r="G84" s="25">
        <v>0</v>
      </c>
      <c r="H84" s="25">
        <f>F84*AO84</f>
        <v>0</v>
      </c>
      <c r="I84" s="25">
        <f>F84*AP84</f>
        <v>0</v>
      </c>
      <c r="J84" s="25">
        <f>F84*G84</f>
        <v>0</v>
      </c>
      <c r="K84" s="25">
        <v>0</v>
      </c>
      <c r="L84" s="25">
        <f>F84*K84</f>
        <v>0</v>
      </c>
      <c r="M84" s="26" t="s">
        <v>53</v>
      </c>
      <c r="Z84" s="25">
        <f>IF(AQ84="5",BJ84,0)</f>
        <v>0</v>
      </c>
      <c r="AB84" s="25">
        <f>IF(AQ84="1",BH84,0)</f>
        <v>0</v>
      </c>
      <c r="AC84" s="25">
        <f>IF(AQ84="1",BI84,0)</f>
        <v>0</v>
      </c>
      <c r="AD84" s="25">
        <f>IF(AQ84="7",BH84,0)</f>
        <v>0</v>
      </c>
      <c r="AE84" s="25">
        <f>IF(AQ84="7",BI84,0)</f>
        <v>0</v>
      </c>
      <c r="AF84" s="25">
        <f>IF(AQ84="2",BH84,0)</f>
        <v>0</v>
      </c>
      <c r="AG84" s="25">
        <f>IF(AQ84="2",BI84,0)</f>
        <v>0</v>
      </c>
      <c r="AH84" s="25">
        <f>IF(AQ84="0",BJ84,0)</f>
        <v>0</v>
      </c>
      <c r="AI84" s="17" t="s">
        <v>198</v>
      </c>
      <c r="AJ84" s="25">
        <f>IF(AN84=0,J84,0)</f>
        <v>0</v>
      </c>
      <c r="AK84" s="25">
        <f>IF(AN84=15,J84,0)</f>
        <v>0</v>
      </c>
      <c r="AL84" s="25">
        <f>IF(AN84=21,J84,0)</f>
        <v>0</v>
      </c>
      <c r="AN84" s="25">
        <v>21</v>
      </c>
      <c r="AO84" s="25">
        <f>G84*0</f>
        <v>0</v>
      </c>
      <c r="AP84" s="25">
        <f>G84*(1-0)</f>
        <v>0</v>
      </c>
      <c r="AQ84" s="26" t="s">
        <v>49</v>
      </c>
      <c r="AV84" s="25">
        <f>AW84+AX84</f>
        <v>0</v>
      </c>
      <c r="AW84" s="25">
        <f>F84*AO84</f>
        <v>0</v>
      </c>
      <c r="AX84" s="25">
        <f>F84*AP84</f>
        <v>0</v>
      </c>
      <c r="AY84" s="26" t="s">
        <v>224</v>
      </c>
      <c r="AZ84" s="26" t="s">
        <v>225</v>
      </c>
      <c r="BA84" s="17" t="s">
        <v>204</v>
      </c>
      <c r="BC84" s="25">
        <f>AW84+AX84</f>
        <v>0</v>
      </c>
      <c r="BD84" s="25">
        <f>G84/(100-BE84)*100</f>
        <v>0</v>
      </c>
      <c r="BE84" s="25">
        <v>0</v>
      </c>
      <c r="BF84" s="25">
        <f>L84</f>
        <v>0</v>
      </c>
      <c r="BH84" s="25">
        <f>F84*AO84</f>
        <v>0</v>
      </c>
      <c r="BI84" s="25">
        <f>F84*AP84</f>
        <v>0</v>
      </c>
      <c r="BJ84" s="25">
        <f>F84*G84</f>
        <v>0</v>
      </c>
    </row>
    <row r="85" spans="1:62" ht="12.75">
      <c r="A85" s="2" t="s">
        <v>233</v>
      </c>
      <c r="B85" s="2" t="s">
        <v>198</v>
      </c>
      <c r="C85" s="2" t="s">
        <v>234</v>
      </c>
      <c r="D85" s="2" t="s">
        <v>235</v>
      </c>
      <c r="E85" s="2" t="s">
        <v>52</v>
      </c>
      <c r="F85" s="25">
        <v>177.63</v>
      </c>
      <c r="G85" s="25">
        <v>0</v>
      </c>
      <c r="H85" s="25">
        <f>F85*AO85</f>
        <v>0</v>
      </c>
      <c r="I85" s="25">
        <f>F85*AP85</f>
        <v>0</v>
      </c>
      <c r="J85" s="25">
        <f>F85*G85</f>
        <v>0</v>
      </c>
      <c r="K85" s="25">
        <v>2.1</v>
      </c>
      <c r="L85" s="25">
        <f>F85*K85</f>
        <v>373.023</v>
      </c>
      <c r="M85" s="26" t="s">
        <v>53</v>
      </c>
      <c r="Z85" s="25">
        <f>IF(AQ85="5",BJ85,0)</f>
        <v>0</v>
      </c>
      <c r="AB85" s="25">
        <f>IF(AQ85="1",BH85,0)</f>
        <v>0</v>
      </c>
      <c r="AC85" s="25">
        <f>IF(AQ85="1",BI85,0)</f>
        <v>0</v>
      </c>
      <c r="AD85" s="25">
        <f>IF(AQ85="7",BH85,0)</f>
        <v>0</v>
      </c>
      <c r="AE85" s="25">
        <f>IF(AQ85="7",BI85,0)</f>
        <v>0</v>
      </c>
      <c r="AF85" s="25">
        <f>IF(AQ85="2",BH85,0)</f>
        <v>0</v>
      </c>
      <c r="AG85" s="25">
        <f>IF(AQ85="2",BI85,0)</f>
        <v>0</v>
      </c>
      <c r="AH85" s="25">
        <f>IF(AQ85="0",BJ85,0)</f>
        <v>0</v>
      </c>
      <c r="AI85" s="17" t="s">
        <v>198</v>
      </c>
      <c r="AJ85" s="25">
        <f>IF(AN85=0,J85,0)</f>
        <v>0</v>
      </c>
      <c r="AK85" s="25">
        <f>IF(AN85=15,J85,0)</f>
        <v>0</v>
      </c>
      <c r="AL85" s="25">
        <f>IF(AN85=21,J85,0)</f>
        <v>0</v>
      </c>
      <c r="AN85" s="25">
        <v>21</v>
      </c>
      <c r="AO85" s="25">
        <f>G85*0.542152974504249</f>
        <v>0</v>
      </c>
      <c r="AP85" s="25">
        <f>G85*(1-0.542152974504249)</f>
        <v>0</v>
      </c>
      <c r="AQ85" s="26" t="s">
        <v>49</v>
      </c>
      <c r="AV85" s="25">
        <f>AW85+AX85</f>
        <v>0</v>
      </c>
      <c r="AW85" s="25">
        <f>F85*AO85</f>
        <v>0</v>
      </c>
      <c r="AX85" s="25">
        <f>F85*AP85</f>
        <v>0</v>
      </c>
      <c r="AY85" s="26" t="s">
        <v>224</v>
      </c>
      <c r="AZ85" s="26" t="s">
        <v>225</v>
      </c>
      <c r="BA85" s="17" t="s">
        <v>204</v>
      </c>
      <c r="BC85" s="25">
        <f>AW85+AX85</f>
        <v>0</v>
      </c>
      <c r="BD85" s="25">
        <f>G85/(100-BE85)*100</f>
        <v>0</v>
      </c>
      <c r="BE85" s="25">
        <v>0</v>
      </c>
      <c r="BF85" s="25">
        <f>L85</f>
        <v>373.023</v>
      </c>
      <c r="BH85" s="25">
        <f>F85*AO85</f>
        <v>0</v>
      </c>
      <c r="BI85" s="25">
        <f>F85*AP85</f>
        <v>0</v>
      </c>
      <c r="BJ85" s="25">
        <f>F85*G85</f>
        <v>0</v>
      </c>
    </row>
    <row r="86" spans="1:62" ht="12.75">
      <c r="A86" s="2" t="s">
        <v>236</v>
      </c>
      <c r="B86" s="2" t="s">
        <v>198</v>
      </c>
      <c r="C86" s="2" t="s">
        <v>237</v>
      </c>
      <c r="D86" s="2" t="s">
        <v>238</v>
      </c>
      <c r="E86" s="2" t="s">
        <v>52</v>
      </c>
      <c r="F86" s="25">
        <v>110.78</v>
      </c>
      <c r="G86" s="25">
        <v>0</v>
      </c>
      <c r="H86" s="25">
        <f>F86*AO86</f>
        <v>0</v>
      </c>
      <c r="I86" s="25">
        <f>F86*AP86</f>
        <v>0</v>
      </c>
      <c r="J86" s="25">
        <f>F86*G86</f>
        <v>0</v>
      </c>
      <c r="K86" s="25">
        <v>2.525</v>
      </c>
      <c r="L86" s="25">
        <f>F86*K86</f>
        <v>279.7195</v>
      </c>
      <c r="M86" s="26" t="s">
        <v>53</v>
      </c>
      <c r="Z86" s="25">
        <f>IF(AQ86="5",BJ86,0)</f>
        <v>0</v>
      </c>
      <c r="AB86" s="25">
        <f>IF(AQ86="1",BH86,0)</f>
        <v>0</v>
      </c>
      <c r="AC86" s="25">
        <f>IF(AQ86="1",BI86,0)</f>
        <v>0</v>
      </c>
      <c r="AD86" s="25">
        <f>IF(AQ86="7",BH86,0)</f>
        <v>0</v>
      </c>
      <c r="AE86" s="25">
        <f>IF(AQ86="7",BI86,0)</f>
        <v>0</v>
      </c>
      <c r="AF86" s="25">
        <f>IF(AQ86="2",BH86,0)</f>
        <v>0</v>
      </c>
      <c r="AG86" s="25">
        <f>IF(AQ86="2",BI86,0)</f>
        <v>0</v>
      </c>
      <c r="AH86" s="25">
        <f>IF(AQ86="0",BJ86,0)</f>
        <v>0</v>
      </c>
      <c r="AI86" s="17" t="s">
        <v>198</v>
      </c>
      <c r="AJ86" s="25">
        <f>IF(AN86=0,J86,0)</f>
        <v>0</v>
      </c>
      <c r="AK86" s="25">
        <f>IF(AN86=15,J86,0)</f>
        <v>0</v>
      </c>
      <c r="AL86" s="25">
        <f>IF(AN86=21,J86,0)</f>
        <v>0</v>
      </c>
      <c r="AN86" s="25">
        <v>21</v>
      </c>
      <c r="AO86" s="25">
        <f>G86*0.915331460674157</f>
        <v>0</v>
      </c>
      <c r="AP86" s="25">
        <f>G86*(1-0.915331460674157)</f>
        <v>0</v>
      </c>
      <c r="AQ86" s="26" t="s">
        <v>49</v>
      </c>
      <c r="AV86" s="25">
        <f>AW86+AX86</f>
        <v>0</v>
      </c>
      <c r="AW86" s="25">
        <f>F86*AO86</f>
        <v>0</v>
      </c>
      <c r="AX86" s="25">
        <f>F86*AP86</f>
        <v>0</v>
      </c>
      <c r="AY86" s="26" t="s">
        <v>224</v>
      </c>
      <c r="AZ86" s="26" t="s">
        <v>225</v>
      </c>
      <c r="BA86" s="17" t="s">
        <v>204</v>
      </c>
      <c r="BC86" s="25">
        <f>AW86+AX86</f>
        <v>0</v>
      </c>
      <c r="BD86" s="25">
        <f>G86/(100-BE86)*100</f>
        <v>0</v>
      </c>
      <c r="BE86" s="25">
        <v>0</v>
      </c>
      <c r="BF86" s="25">
        <f>L86</f>
        <v>279.7195</v>
      </c>
      <c r="BH86" s="25">
        <f>F86*AO86</f>
        <v>0</v>
      </c>
      <c r="BI86" s="25">
        <f>F86*AP86</f>
        <v>0</v>
      </c>
      <c r="BJ86" s="25">
        <f>F86*G86</f>
        <v>0</v>
      </c>
    </row>
    <row r="87" spans="3:13" ht="12.75" customHeight="1">
      <c r="C87" s="27" t="s">
        <v>72</v>
      </c>
      <c r="D87" s="103" t="s">
        <v>239</v>
      </c>
      <c r="E87" s="103"/>
      <c r="F87" s="103"/>
      <c r="G87" s="103"/>
      <c r="H87" s="103"/>
      <c r="I87" s="103"/>
      <c r="J87" s="103"/>
      <c r="K87" s="103"/>
      <c r="L87" s="103"/>
      <c r="M87" s="103"/>
    </row>
    <row r="88" spans="1:62" ht="12.75">
      <c r="A88" s="2" t="s">
        <v>240</v>
      </c>
      <c r="B88" s="2" t="s">
        <v>198</v>
      </c>
      <c r="C88" s="2" t="s">
        <v>241</v>
      </c>
      <c r="D88" s="2" t="s">
        <v>242</v>
      </c>
      <c r="E88" s="2" t="s">
        <v>89</v>
      </c>
      <c r="F88" s="25">
        <v>76.4</v>
      </c>
      <c r="G88" s="25">
        <v>0</v>
      </c>
      <c r="H88" s="25">
        <f>F88*AO88</f>
        <v>0</v>
      </c>
      <c r="I88" s="25">
        <f>F88*AP88</f>
        <v>0</v>
      </c>
      <c r="J88" s="25">
        <f>F88*G88</f>
        <v>0</v>
      </c>
      <c r="K88" s="25">
        <v>0.0392</v>
      </c>
      <c r="L88" s="25">
        <f>F88*K88</f>
        <v>2.99488</v>
      </c>
      <c r="M88" s="26" t="s">
        <v>53</v>
      </c>
      <c r="Z88" s="25">
        <f>IF(AQ88="5",BJ88,0)</f>
        <v>0</v>
      </c>
      <c r="AB88" s="25">
        <f>IF(AQ88="1",BH88,0)</f>
        <v>0</v>
      </c>
      <c r="AC88" s="25">
        <f>IF(AQ88="1",BI88,0)</f>
        <v>0</v>
      </c>
      <c r="AD88" s="25">
        <f>IF(AQ88="7",BH88,0)</f>
        <v>0</v>
      </c>
      <c r="AE88" s="25">
        <f>IF(AQ88="7",BI88,0)</f>
        <v>0</v>
      </c>
      <c r="AF88" s="25">
        <f>IF(AQ88="2",BH88,0)</f>
        <v>0</v>
      </c>
      <c r="AG88" s="25">
        <f>IF(AQ88="2",BI88,0)</f>
        <v>0</v>
      </c>
      <c r="AH88" s="25">
        <f>IF(AQ88="0",BJ88,0)</f>
        <v>0</v>
      </c>
      <c r="AI88" s="17" t="s">
        <v>198</v>
      </c>
      <c r="AJ88" s="25">
        <f>IF(AN88=0,J88,0)</f>
        <v>0</v>
      </c>
      <c r="AK88" s="25">
        <f>IF(AN88=15,J88,0)</f>
        <v>0</v>
      </c>
      <c r="AL88" s="25">
        <f>IF(AN88=21,J88,0)</f>
        <v>0</v>
      </c>
      <c r="AN88" s="25">
        <v>21</v>
      </c>
      <c r="AO88" s="25">
        <f>G88*0.278633152166554</f>
        <v>0</v>
      </c>
      <c r="AP88" s="25">
        <f>G88*(1-0.278633152166554)</f>
        <v>0</v>
      </c>
      <c r="AQ88" s="26" t="s">
        <v>49</v>
      </c>
      <c r="AV88" s="25">
        <f>AW88+AX88</f>
        <v>0</v>
      </c>
      <c r="AW88" s="25">
        <f>F88*AO88</f>
        <v>0</v>
      </c>
      <c r="AX88" s="25">
        <f>F88*AP88</f>
        <v>0</v>
      </c>
      <c r="AY88" s="26" t="s">
        <v>224</v>
      </c>
      <c r="AZ88" s="26" t="s">
        <v>225</v>
      </c>
      <c r="BA88" s="17" t="s">
        <v>204</v>
      </c>
      <c r="BC88" s="25">
        <f>AW88+AX88</f>
        <v>0</v>
      </c>
      <c r="BD88" s="25">
        <f>G88/(100-BE88)*100</f>
        <v>0</v>
      </c>
      <c r="BE88" s="25">
        <v>0</v>
      </c>
      <c r="BF88" s="25">
        <f>L88</f>
        <v>2.99488</v>
      </c>
      <c r="BH88" s="25">
        <f>F88*AO88</f>
        <v>0</v>
      </c>
      <c r="BI88" s="25">
        <f>F88*AP88</f>
        <v>0</v>
      </c>
      <c r="BJ88" s="25">
        <f>F88*G88</f>
        <v>0</v>
      </c>
    </row>
    <row r="89" spans="1:62" ht="12.75">
      <c r="A89" s="2" t="s">
        <v>243</v>
      </c>
      <c r="B89" s="2" t="s">
        <v>198</v>
      </c>
      <c r="C89" s="2" t="s">
        <v>244</v>
      </c>
      <c r="D89" s="2" t="s">
        <v>245</v>
      </c>
      <c r="E89" s="2" t="s">
        <v>89</v>
      </c>
      <c r="F89" s="25">
        <v>76.4</v>
      </c>
      <c r="G89" s="25">
        <v>0</v>
      </c>
      <c r="H89" s="25">
        <f>F89*AO89</f>
        <v>0</v>
      </c>
      <c r="I89" s="25">
        <f>F89*AP89</f>
        <v>0</v>
      </c>
      <c r="J89" s="25">
        <f>F89*G89</f>
        <v>0</v>
      </c>
      <c r="K89" s="25">
        <v>0</v>
      </c>
      <c r="L89" s="25">
        <f>F89*K89</f>
        <v>0</v>
      </c>
      <c r="M89" s="26" t="s">
        <v>53</v>
      </c>
      <c r="Z89" s="25">
        <f>IF(AQ89="5",BJ89,0)</f>
        <v>0</v>
      </c>
      <c r="AB89" s="25">
        <f>IF(AQ89="1",BH89,0)</f>
        <v>0</v>
      </c>
      <c r="AC89" s="25">
        <f>IF(AQ89="1",BI89,0)</f>
        <v>0</v>
      </c>
      <c r="AD89" s="25">
        <f>IF(AQ89="7",BH89,0)</f>
        <v>0</v>
      </c>
      <c r="AE89" s="25">
        <f>IF(AQ89="7",BI89,0)</f>
        <v>0</v>
      </c>
      <c r="AF89" s="25">
        <f>IF(AQ89="2",BH89,0)</f>
        <v>0</v>
      </c>
      <c r="AG89" s="25">
        <f>IF(AQ89="2",BI89,0)</f>
        <v>0</v>
      </c>
      <c r="AH89" s="25">
        <f>IF(AQ89="0",BJ89,0)</f>
        <v>0</v>
      </c>
      <c r="AI89" s="17" t="s">
        <v>198</v>
      </c>
      <c r="AJ89" s="25">
        <f>IF(AN89=0,J89,0)</f>
        <v>0</v>
      </c>
      <c r="AK89" s="25">
        <f>IF(AN89=15,J89,0)</f>
        <v>0</v>
      </c>
      <c r="AL89" s="25">
        <f>IF(AN89=21,J89,0)</f>
        <v>0</v>
      </c>
      <c r="AN89" s="25">
        <v>21</v>
      </c>
      <c r="AO89" s="25">
        <f>G89*0</f>
        <v>0</v>
      </c>
      <c r="AP89" s="25">
        <f>G89*(1-0)</f>
        <v>0</v>
      </c>
      <c r="AQ89" s="26" t="s">
        <v>49</v>
      </c>
      <c r="AV89" s="25">
        <f>AW89+AX89</f>
        <v>0</v>
      </c>
      <c r="AW89" s="25">
        <f>F89*AO89</f>
        <v>0</v>
      </c>
      <c r="AX89" s="25">
        <f>F89*AP89</f>
        <v>0</v>
      </c>
      <c r="AY89" s="26" t="s">
        <v>224</v>
      </c>
      <c r="AZ89" s="26" t="s">
        <v>225</v>
      </c>
      <c r="BA89" s="17" t="s">
        <v>204</v>
      </c>
      <c r="BC89" s="25">
        <f>AW89+AX89</f>
        <v>0</v>
      </c>
      <c r="BD89" s="25">
        <f>G89/(100-BE89)*100</f>
        <v>0</v>
      </c>
      <c r="BE89" s="25">
        <v>0</v>
      </c>
      <c r="BF89" s="25">
        <f>L89</f>
        <v>0</v>
      </c>
      <c r="BH89" s="25">
        <f>F89*AO89</f>
        <v>0</v>
      </c>
      <c r="BI89" s="25">
        <f>F89*AP89</f>
        <v>0</v>
      </c>
      <c r="BJ89" s="25">
        <f>F89*G89</f>
        <v>0</v>
      </c>
    </row>
    <row r="90" spans="1:62" ht="12.75">
      <c r="A90" s="2" t="s">
        <v>246</v>
      </c>
      <c r="B90" s="2" t="s">
        <v>198</v>
      </c>
      <c r="C90" s="2" t="s">
        <v>247</v>
      </c>
      <c r="D90" s="2" t="s">
        <v>248</v>
      </c>
      <c r="E90" s="2" t="s">
        <v>145</v>
      </c>
      <c r="F90" s="25">
        <v>25.324</v>
      </c>
      <c r="G90" s="25">
        <v>0</v>
      </c>
      <c r="H90" s="25">
        <f>F90*AO90</f>
        <v>0</v>
      </c>
      <c r="I90" s="25">
        <f>F90*AP90</f>
        <v>0</v>
      </c>
      <c r="J90" s="25">
        <f>F90*G90</f>
        <v>0</v>
      </c>
      <c r="K90" s="25">
        <v>1.02174</v>
      </c>
      <c r="L90" s="25">
        <f>F90*K90</f>
        <v>25.874543760000005</v>
      </c>
      <c r="M90" s="26" t="s">
        <v>53</v>
      </c>
      <c r="Z90" s="25">
        <f>IF(AQ90="5",BJ90,0)</f>
        <v>0</v>
      </c>
      <c r="AB90" s="25">
        <f>IF(AQ90="1",BH90,0)</f>
        <v>0</v>
      </c>
      <c r="AC90" s="25">
        <f>IF(AQ90="1",BI90,0)</f>
        <v>0</v>
      </c>
      <c r="AD90" s="25">
        <f>IF(AQ90="7",BH90,0)</f>
        <v>0</v>
      </c>
      <c r="AE90" s="25">
        <f>IF(AQ90="7",BI90,0)</f>
        <v>0</v>
      </c>
      <c r="AF90" s="25">
        <f>IF(AQ90="2",BH90,0)</f>
        <v>0</v>
      </c>
      <c r="AG90" s="25">
        <f>IF(AQ90="2",BI90,0)</f>
        <v>0</v>
      </c>
      <c r="AH90" s="25">
        <f>IF(AQ90="0",BJ90,0)</f>
        <v>0</v>
      </c>
      <c r="AI90" s="17" t="s">
        <v>198</v>
      </c>
      <c r="AJ90" s="25">
        <f>IF(AN90=0,J90,0)</f>
        <v>0</v>
      </c>
      <c r="AK90" s="25">
        <f>IF(AN90=15,J90,0)</f>
        <v>0</v>
      </c>
      <c r="AL90" s="25">
        <f>IF(AN90=21,J90,0)</f>
        <v>0</v>
      </c>
      <c r="AN90" s="25">
        <v>21</v>
      </c>
      <c r="AO90" s="25">
        <f>G90*0.670759871668312</f>
        <v>0</v>
      </c>
      <c r="AP90" s="25">
        <f>G90*(1-0.670759871668312)</f>
        <v>0</v>
      </c>
      <c r="AQ90" s="26" t="s">
        <v>49</v>
      </c>
      <c r="AV90" s="25">
        <f>AW90+AX90</f>
        <v>0</v>
      </c>
      <c r="AW90" s="25">
        <f>F90*AO90</f>
        <v>0</v>
      </c>
      <c r="AX90" s="25">
        <f>F90*AP90</f>
        <v>0</v>
      </c>
      <c r="AY90" s="26" t="s">
        <v>224</v>
      </c>
      <c r="AZ90" s="26" t="s">
        <v>225</v>
      </c>
      <c r="BA90" s="17" t="s">
        <v>204</v>
      </c>
      <c r="BC90" s="25">
        <f>AW90+AX90</f>
        <v>0</v>
      </c>
      <c r="BD90" s="25">
        <f>G90/(100-BE90)*100</f>
        <v>0</v>
      </c>
      <c r="BE90" s="25">
        <v>0</v>
      </c>
      <c r="BF90" s="25">
        <f>L90</f>
        <v>25.874543760000005</v>
      </c>
      <c r="BH90" s="25">
        <f>F90*AO90</f>
        <v>0</v>
      </c>
      <c r="BI90" s="25">
        <f>F90*AP90</f>
        <v>0</v>
      </c>
      <c r="BJ90" s="25">
        <f>F90*G90</f>
        <v>0</v>
      </c>
    </row>
    <row r="91" spans="1:47" ht="12.75">
      <c r="A91" s="22"/>
      <c r="B91" s="23" t="s">
        <v>198</v>
      </c>
      <c r="C91" s="23" t="s">
        <v>195</v>
      </c>
      <c r="D91" s="23" t="s">
        <v>249</v>
      </c>
      <c r="E91" s="22" t="s">
        <v>3</v>
      </c>
      <c r="F91" s="22" t="s">
        <v>3</v>
      </c>
      <c r="G91" s="22" t="s">
        <v>3</v>
      </c>
      <c r="H91" s="24">
        <f>SUM(H92:H96)</f>
        <v>0</v>
      </c>
      <c r="I91" s="24">
        <f>SUM(I92:I96)</f>
        <v>0</v>
      </c>
      <c r="J91" s="24">
        <f>SUM(J92:J96)</f>
        <v>0</v>
      </c>
      <c r="K91" s="17"/>
      <c r="L91" s="24">
        <f>SUM(L92:L96)</f>
        <v>250.15796360000004</v>
      </c>
      <c r="M91" s="17"/>
      <c r="AI91" s="17" t="s">
        <v>198</v>
      </c>
      <c r="AS91" s="24">
        <f>SUM(AJ92:AJ96)</f>
        <v>0</v>
      </c>
      <c r="AT91" s="24">
        <f>SUM(AK92:AK96)</f>
        <v>0</v>
      </c>
      <c r="AU91" s="24">
        <f>SUM(AL92:AL96)</f>
        <v>0</v>
      </c>
    </row>
    <row r="92" spans="1:62" ht="12.75">
      <c r="A92" s="2" t="s">
        <v>250</v>
      </c>
      <c r="B92" s="2" t="s">
        <v>198</v>
      </c>
      <c r="C92" s="2" t="s">
        <v>251</v>
      </c>
      <c r="D92" s="2" t="s">
        <v>252</v>
      </c>
      <c r="E92" s="2" t="s">
        <v>52</v>
      </c>
      <c r="F92" s="25">
        <v>91.68</v>
      </c>
      <c r="G92" s="25">
        <v>0</v>
      </c>
      <c r="H92" s="25">
        <f>F92*AO92</f>
        <v>0</v>
      </c>
      <c r="I92" s="25">
        <f>F92*AP92</f>
        <v>0</v>
      </c>
      <c r="J92" s="25">
        <f>F92*G92</f>
        <v>0</v>
      </c>
      <c r="K92" s="25">
        <v>2.53013</v>
      </c>
      <c r="L92" s="25">
        <f>F92*K92</f>
        <v>231.96231840000004</v>
      </c>
      <c r="M92" s="26" t="s">
        <v>53</v>
      </c>
      <c r="Z92" s="25">
        <f>IF(AQ92="5",BJ92,0)</f>
        <v>0</v>
      </c>
      <c r="AB92" s="25">
        <f>IF(AQ92="1",BH92,0)</f>
        <v>0</v>
      </c>
      <c r="AC92" s="25">
        <f>IF(AQ92="1",BI92,0)</f>
        <v>0</v>
      </c>
      <c r="AD92" s="25">
        <f>IF(AQ92="7",BH92,0)</f>
        <v>0</v>
      </c>
      <c r="AE92" s="25">
        <f>IF(AQ92="7",BI92,0)</f>
        <v>0</v>
      </c>
      <c r="AF92" s="25">
        <f>IF(AQ92="2",BH92,0)</f>
        <v>0</v>
      </c>
      <c r="AG92" s="25">
        <f>IF(AQ92="2",BI92,0)</f>
        <v>0</v>
      </c>
      <c r="AH92" s="25">
        <f>IF(AQ92="0",BJ92,0)</f>
        <v>0</v>
      </c>
      <c r="AI92" s="17" t="s">
        <v>198</v>
      </c>
      <c r="AJ92" s="25">
        <f>IF(AN92=0,J92,0)</f>
        <v>0</v>
      </c>
      <c r="AK92" s="25">
        <f>IF(AN92=15,J92,0)</f>
        <v>0</v>
      </c>
      <c r="AL92" s="25">
        <f>IF(AN92=21,J92,0)</f>
        <v>0</v>
      </c>
      <c r="AN92" s="25">
        <v>21</v>
      </c>
      <c r="AO92" s="25">
        <f>G92*0.821899470899471</f>
        <v>0</v>
      </c>
      <c r="AP92" s="25">
        <f>G92*(1-0.821899470899471)</f>
        <v>0</v>
      </c>
      <c r="AQ92" s="26" t="s">
        <v>49</v>
      </c>
      <c r="AV92" s="25">
        <f>AW92+AX92</f>
        <v>0</v>
      </c>
      <c r="AW92" s="25">
        <f>F92*AO92</f>
        <v>0</v>
      </c>
      <c r="AX92" s="25">
        <f>F92*AP92</f>
        <v>0</v>
      </c>
      <c r="AY92" s="26" t="s">
        <v>253</v>
      </c>
      <c r="AZ92" s="26" t="s">
        <v>254</v>
      </c>
      <c r="BA92" s="17" t="s">
        <v>204</v>
      </c>
      <c r="BC92" s="25">
        <f>AW92+AX92</f>
        <v>0</v>
      </c>
      <c r="BD92" s="25">
        <f>G92/(100-BE92)*100</f>
        <v>0</v>
      </c>
      <c r="BE92" s="25">
        <v>0</v>
      </c>
      <c r="BF92" s="25">
        <f>L92</f>
        <v>231.96231840000004</v>
      </c>
      <c r="BH92" s="25">
        <f>F92*AO92</f>
        <v>0</v>
      </c>
      <c r="BI92" s="25">
        <f>F92*AP92</f>
        <v>0</v>
      </c>
      <c r="BJ92" s="25">
        <f>F92*G92</f>
        <v>0</v>
      </c>
    </row>
    <row r="93" spans="3:13" ht="12.75" customHeight="1">
      <c r="C93" s="27" t="s">
        <v>72</v>
      </c>
      <c r="D93" s="103" t="s">
        <v>255</v>
      </c>
      <c r="E93" s="103"/>
      <c r="F93" s="103"/>
      <c r="G93" s="103"/>
      <c r="H93" s="103"/>
      <c r="I93" s="103"/>
      <c r="J93" s="103"/>
      <c r="K93" s="103"/>
      <c r="L93" s="103"/>
      <c r="M93" s="103"/>
    </row>
    <row r="94" spans="1:62" ht="12.75">
      <c r="A94" s="2" t="s">
        <v>256</v>
      </c>
      <c r="B94" s="2" t="s">
        <v>198</v>
      </c>
      <c r="C94" s="2" t="s">
        <v>257</v>
      </c>
      <c r="D94" s="2" t="s">
        <v>258</v>
      </c>
      <c r="E94" s="2" t="s">
        <v>89</v>
      </c>
      <c r="F94" s="25">
        <v>38.2</v>
      </c>
      <c r="G94" s="25">
        <v>0</v>
      </c>
      <c r="H94" s="25">
        <f>F94*AO94</f>
        <v>0</v>
      </c>
      <c r="I94" s="25">
        <f>F94*AP94</f>
        <v>0</v>
      </c>
      <c r="J94" s="25">
        <f>F94*G94</f>
        <v>0</v>
      </c>
      <c r="K94" s="25">
        <v>0.00263</v>
      </c>
      <c r="L94" s="25">
        <f>F94*K94</f>
        <v>0.100466</v>
      </c>
      <c r="M94" s="26" t="s">
        <v>53</v>
      </c>
      <c r="Z94" s="25">
        <f>IF(AQ94="5",BJ94,0)</f>
        <v>0</v>
      </c>
      <c r="AB94" s="25">
        <f>IF(AQ94="1",BH94,0)</f>
        <v>0</v>
      </c>
      <c r="AC94" s="25">
        <f>IF(AQ94="1",BI94,0)</f>
        <v>0</v>
      </c>
      <c r="AD94" s="25">
        <f>IF(AQ94="7",BH94,0)</f>
        <v>0</v>
      </c>
      <c r="AE94" s="25">
        <f>IF(AQ94="7",BI94,0)</f>
        <v>0</v>
      </c>
      <c r="AF94" s="25">
        <f>IF(AQ94="2",BH94,0)</f>
        <v>0</v>
      </c>
      <c r="AG94" s="25">
        <f>IF(AQ94="2",BI94,0)</f>
        <v>0</v>
      </c>
      <c r="AH94" s="25">
        <f>IF(AQ94="0",BJ94,0)</f>
        <v>0</v>
      </c>
      <c r="AI94" s="17" t="s">
        <v>198</v>
      </c>
      <c r="AJ94" s="25">
        <f>IF(AN94=0,J94,0)</f>
        <v>0</v>
      </c>
      <c r="AK94" s="25">
        <f>IF(AN94=15,J94,0)</f>
        <v>0</v>
      </c>
      <c r="AL94" s="25">
        <f>IF(AN94=21,J94,0)</f>
        <v>0</v>
      </c>
      <c r="AN94" s="25">
        <v>21</v>
      </c>
      <c r="AO94" s="25">
        <f>G94*0.68384493886519</f>
        <v>0</v>
      </c>
      <c r="AP94" s="25">
        <f>G94*(1-0.68384493886519)</f>
        <v>0</v>
      </c>
      <c r="AQ94" s="26" t="s">
        <v>49</v>
      </c>
      <c r="AV94" s="25">
        <f>AW94+AX94</f>
        <v>0</v>
      </c>
      <c r="AW94" s="25">
        <f>F94*AO94</f>
        <v>0</v>
      </c>
      <c r="AX94" s="25">
        <f>F94*AP94</f>
        <v>0</v>
      </c>
      <c r="AY94" s="26" t="s">
        <v>253</v>
      </c>
      <c r="AZ94" s="26" t="s">
        <v>254</v>
      </c>
      <c r="BA94" s="17" t="s">
        <v>204</v>
      </c>
      <c r="BC94" s="25">
        <f>AW94+AX94</f>
        <v>0</v>
      </c>
      <c r="BD94" s="25">
        <f>G94/(100-BE94)*100</f>
        <v>0</v>
      </c>
      <c r="BE94" s="25">
        <v>0</v>
      </c>
      <c r="BF94" s="25">
        <f>L94</f>
        <v>0.100466</v>
      </c>
      <c r="BH94" s="25">
        <f>F94*AO94</f>
        <v>0</v>
      </c>
      <c r="BI94" s="25">
        <f>F94*AP94</f>
        <v>0</v>
      </c>
      <c r="BJ94" s="25">
        <f>F94*G94</f>
        <v>0</v>
      </c>
    </row>
    <row r="95" spans="1:62" ht="12.75">
      <c r="A95" s="2" t="s">
        <v>259</v>
      </c>
      <c r="B95" s="2" t="s">
        <v>198</v>
      </c>
      <c r="C95" s="2" t="s">
        <v>260</v>
      </c>
      <c r="D95" s="2" t="s">
        <v>261</v>
      </c>
      <c r="E95" s="2" t="s">
        <v>89</v>
      </c>
      <c r="F95" s="25">
        <v>460.32</v>
      </c>
      <c r="G95" s="25">
        <v>0</v>
      </c>
      <c r="H95" s="25">
        <f>F95*AO95</f>
        <v>0</v>
      </c>
      <c r="I95" s="25">
        <f>F95*AP95</f>
        <v>0</v>
      </c>
      <c r="J95" s="25">
        <f>F95*G95</f>
        <v>0</v>
      </c>
      <c r="K95" s="25">
        <v>0.03931</v>
      </c>
      <c r="L95" s="25">
        <f>F95*K95</f>
        <v>18.095179199999997</v>
      </c>
      <c r="M95" s="26" t="s">
        <v>53</v>
      </c>
      <c r="Z95" s="25">
        <f>IF(AQ95="5",BJ95,0)</f>
        <v>0</v>
      </c>
      <c r="AB95" s="25">
        <f>IF(AQ95="1",BH95,0)</f>
        <v>0</v>
      </c>
      <c r="AC95" s="25">
        <f>IF(AQ95="1",BI95,0)</f>
        <v>0</v>
      </c>
      <c r="AD95" s="25">
        <f>IF(AQ95="7",BH95,0)</f>
        <v>0</v>
      </c>
      <c r="AE95" s="25">
        <f>IF(AQ95="7",BI95,0)</f>
        <v>0</v>
      </c>
      <c r="AF95" s="25">
        <f>IF(AQ95="2",BH95,0)</f>
        <v>0</v>
      </c>
      <c r="AG95" s="25">
        <f>IF(AQ95="2",BI95,0)</f>
        <v>0</v>
      </c>
      <c r="AH95" s="25">
        <f>IF(AQ95="0",BJ95,0)</f>
        <v>0</v>
      </c>
      <c r="AI95" s="17" t="s">
        <v>198</v>
      </c>
      <c r="AJ95" s="25">
        <f>IF(AN95=0,J95,0)</f>
        <v>0</v>
      </c>
      <c r="AK95" s="25">
        <f>IF(AN95=15,J95,0)</f>
        <v>0</v>
      </c>
      <c r="AL95" s="25">
        <f>IF(AN95=21,J95,0)</f>
        <v>0</v>
      </c>
      <c r="AN95" s="25">
        <v>21</v>
      </c>
      <c r="AO95" s="25">
        <f>G95*0.320238095238095</f>
        <v>0</v>
      </c>
      <c r="AP95" s="25">
        <f>G95*(1-0.320238095238095)</f>
        <v>0</v>
      </c>
      <c r="AQ95" s="26" t="s">
        <v>49</v>
      </c>
      <c r="AV95" s="25">
        <f>AW95+AX95</f>
        <v>0</v>
      </c>
      <c r="AW95" s="25">
        <f>F95*AO95</f>
        <v>0</v>
      </c>
      <c r="AX95" s="25">
        <f>F95*AP95</f>
        <v>0</v>
      </c>
      <c r="AY95" s="26" t="s">
        <v>253</v>
      </c>
      <c r="AZ95" s="26" t="s">
        <v>254</v>
      </c>
      <c r="BA95" s="17" t="s">
        <v>204</v>
      </c>
      <c r="BC95" s="25">
        <f>AW95+AX95</f>
        <v>0</v>
      </c>
      <c r="BD95" s="25">
        <f>G95/(100-BE95)*100</f>
        <v>0</v>
      </c>
      <c r="BE95" s="25">
        <v>0</v>
      </c>
      <c r="BF95" s="25">
        <f>L95</f>
        <v>18.095179199999997</v>
      </c>
      <c r="BH95" s="25">
        <f>F95*AO95</f>
        <v>0</v>
      </c>
      <c r="BI95" s="25">
        <f>F95*AP95</f>
        <v>0</v>
      </c>
      <c r="BJ95" s="25">
        <f>F95*G95</f>
        <v>0</v>
      </c>
    </row>
    <row r="96" spans="1:62" ht="12.75">
      <c r="A96" s="2" t="s">
        <v>262</v>
      </c>
      <c r="B96" s="2" t="s">
        <v>198</v>
      </c>
      <c r="C96" s="2" t="s">
        <v>263</v>
      </c>
      <c r="D96" s="2" t="s">
        <v>264</v>
      </c>
      <c r="E96" s="2" t="s">
        <v>89</v>
      </c>
      <c r="F96" s="25">
        <v>460.32</v>
      </c>
      <c r="G96" s="25">
        <v>0</v>
      </c>
      <c r="H96" s="25">
        <f>F96*AO96</f>
        <v>0</v>
      </c>
      <c r="I96" s="25">
        <f>F96*AP96</f>
        <v>0</v>
      </c>
      <c r="J96" s="25">
        <f>F96*G96</f>
        <v>0</v>
      </c>
      <c r="K96" s="25">
        <v>0</v>
      </c>
      <c r="L96" s="25">
        <f>F96*K96</f>
        <v>0</v>
      </c>
      <c r="M96" s="26" t="s">
        <v>53</v>
      </c>
      <c r="Z96" s="25">
        <f>IF(AQ96="5",BJ96,0)</f>
        <v>0</v>
      </c>
      <c r="AB96" s="25">
        <f>IF(AQ96="1",BH96,0)</f>
        <v>0</v>
      </c>
      <c r="AC96" s="25">
        <f>IF(AQ96="1",BI96,0)</f>
        <v>0</v>
      </c>
      <c r="AD96" s="25">
        <f>IF(AQ96="7",BH96,0)</f>
        <v>0</v>
      </c>
      <c r="AE96" s="25">
        <f>IF(AQ96="7",BI96,0)</f>
        <v>0</v>
      </c>
      <c r="AF96" s="25">
        <f>IF(AQ96="2",BH96,0)</f>
        <v>0</v>
      </c>
      <c r="AG96" s="25">
        <f>IF(AQ96="2",BI96,0)</f>
        <v>0</v>
      </c>
      <c r="AH96" s="25">
        <f>IF(AQ96="0",BJ96,0)</f>
        <v>0</v>
      </c>
      <c r="AI96" s="17" t="s">
        <v>198</v>
      </c>
      <c r="AJ96" s="25">
        <f>IF(AN96=0,J96,0)</f>
        <v>0</v>
      </c>
      <c r="AK96" s="25">
        <f>IF(AN96=15,J96,0)</f>
        <v>0</v>
      </c>
      <c r="AL96" s="25">
        <f>IF(AN96=21,J96,0)</f>
        <v>0</v>
      </c>
      <c r="AN96" s="25">
        <v>21</v>
      </c>
      <c r="AO96" s="25">
        <f>G96*0</f>
        <v>0</v>
      </c>
      <c r="AP96" s="25">
        <f>G96*(1-0)</f>
        <v>0</v>
      </c>
      <c r="AQ96" s="26" t="s">
        <v>49</v>
      </c>
      <c r="AV96" s="25">
        <f>AW96+AX96</f>
        <v>0</v>
      </c>
      <c r="AW96" s="25">
        <f>F96*AO96</f>
        <v>0</v>
      </c>
      <c r="AX96" s="25">
        <f>F96*AP96</f>
        <v>0</v>
      </c>
      <c r="AY96" s="26" t="s">
        <v>253</v>
      </c>
      <c r="AZ96" s="26" t="s">
        <v>254</v>
      </c>
      <c r="BA96" s="17" t="s">
        <v>204</v>
      </c>
      <c r="BC96" s="25">
        <f>AW96+AX96</f>
        <v>0</v>
      </c>
      <c r="BD96" s="25">
        <f>G96/(100-BE96)*100</f>
        <v>0</v>
      </c>
      <c r="BE96" s="25">
        <v>0</v>
      </c>
      <c r="BF96" s="25">
        <f>L96</f>
        <v>0</v>
      </c>
      <c r="BH96" s="25">
        <f>F96*AO96</f>
        <v>0</v>
      </c>
      <c r="BI96" s="25">
        <f>F96*AP96</f>
        <v>0</v>
      </c>
      <c r="BJ96" s="25">
        <f>F96*G96</f>
        <v>0</v>
      </c>
    </row>
    <row r="97" spans="1:47" ht="12.75">
      <c r="A97" s="22"/>
      <c r="B97" s="23" t="s">
        <v>198</v>
      </c>
      <c r="C97" s="23" t="s">
        <v>205</v>
      </c>
      <c r="D97" s="23" t="s">
        <v>265</v>
      </c>
      <c r="E97" s="22" t="s">
        <v>3</v>
      </c>
      <c r="F97" s="22" t="s">
        <v>3</v>
      </c>
      <c r="G97" s="22" t="s">
        <v>3</v>
      </c>
      <c r="H97" s="24">
        <f>SUM(H98:H101)</f>
        <v>0</v>
      </c>
      <c r="I97" s="24">
        <f>SUM(I98:I101)</f>
        <v>0</v>
      </c>
      <c r="J97" s="24">
        <f>SUM(J98:J101)</f>
        <v>0</v>
      </c>
      <c r="K97" s="17"/>
      <c r="L97" s="24">
        <f>SUM(L98:L101)</f>
        <v>9.34347</v>
      </c>
      <c r="M97" s="17"/>
      <c r="AI97" s="17" t="s">
        <v>198</v>
      </c>
      <c r="AS97" s="24">
        <f>SUM(AJ98:AJ101)</f>
        <v>0</v>
      </c>
      <c r="AT97" s="24">
        <f>SUM(AK98:AK101)</f>
        <v>0</v>
      </c>
      <c r="AU97" s="24">
        <f>SUM(AL98:AL101)</f>
        <v>0</v>
      </c>
    </row>
    <row r="98" spans="1:62" ht="12.75">
      <c r="A98" s="2" t="s">
        <v>266</v>
      </c>
      <c r="B98" s="2" t="s">
        <v>198</v>
      </c>
      <c r="C98" s="2" t="s">
        <v>267</v>
      </c>
      <c r="D98" s="2" t="s">
        <v>268</v>
      </c>
      <c r="E98" s="2" t="s">
        <v>176</v>
      </c>
      <c r="F98" s="25">
        <v>17</v>
      </c>
      <c r="G98" s="25">
        <v>0</v>
      </c>
      <c r="H98" s="25">
        <f>F98*AO98</f>
        <v>0</v>
      </c>
      <c r="I98" s="25">
        <f>F98*AP98</f>
        <v>0</v>
      </c>
      <c r="J98" s="25">
        <f>F98*G98</f>
        <v>0</v>
      </c>
      <c r="K98" s="25">
        <v>0.125</v>
      </c>
      <c r="L98" s="25">
        <f>F98*K98</f>
        <v>2.125</v>
      </c>
      <c r="M98" s="26" t="s">
        <v>53</v>
      </c>
      <c r="Z98" s="25">
        <f>IF(AQ98="5",BJ98,0)</f>
        <v>0</v>
      </c>
      <c r="AB98" s="25">
        <f>IF(AQ98="1",BH98,0)</f>
        <v>0</v>
      </c>
      <c r="AC98" s="25">
        <f>IF(AQ98="1",BI98,0)</f>
        <v>0</v>
      </c>
      <c r="AD98" s="25">
        <f>IF(AQ98="7",BH98,0)</f>
        <v>0</v>
      </c>
      <c r="AE98" s="25">
        <f>IF(AQ98="7",BI98,0)</f>
        <v>0</v>
      </c>
      <c r="AF98" s="25">
        <f>IF(AQ98="2",BH98,0)</f>
        <v>0</v>
      </c>
      <c r="AG98" s="25">
        <f>IF(AQ98="2",BI98,0)</f>
        <v>0</v>
      </c>
      <c r="AH98" s="25">
        <f>IF(AQ98="0",BJ98,0)</f>
        <v>0</v>
      </c>
      <c r="AI98" s="17" t="s">
        <v>198</v>
      </c>
      <c r="AJ98" s="25">
        <f>IF(AN98=0,J98,0)</f>
        <v>0</v>
      </c>
      <c r="AK98" s="25">
        <f>IF(AN98=15,J98,0)</f>
        <v>0</v>
      </c>
      <c r="AL98" s="25">
        <f>IF(AN98=21,J98,0)</f>
        <v>0</v>
      </c>
      <c r="AN98" s="25">
        <v>21</v>
      </c>
      <c r="AO98" s="25">
        <f>G98*0.156481481481481</f>
        <v>0</v>
      </c>
      <c r="AP98" s="25">
        <f>G98*(1-0.156481481481481)</f>
        <v>0</v>
      </c>
      <c r="AQ98" s="26" t="s">
        <v>49</v>
      </c>
      <c r="AV98" s="25">
        <f>AW98+AX98</f>
        <v>0</v>
      </c>
      <c r="AW98" s="25">
        <f>F98*AO98</f>
        <v>0</v>
      </c>
      <c r="AX98" s="25">
        <f>F98*AP98</f>
        <v>0</v>
      </c>
      <c r="AY98" s="26" t="s">
        <v>269</v>
      </c>
      <c r="AZ98" s="26" t="s">
        <v>254</v>
      </c>
      <c r="BA98" s="17" t="s">
        <v>204</v>
      </c>
      <c r="BC98" s="25">
        <f>AW98+AX98</f>
        <v>0</v>
      </c>
      <c r="BD98" s="25">
        <f>G98/(100-BE98)*100</f>
        <v>0</v>
      </c>
      <c r="BE98" s="25">
        <v>0</v>
      </c>
      <c r="BF98" s="25">
        <f>L98</f>
        <v>2.125</v>
      </c>
      <c r="BH98" s="25">
        <f>F98*AO98</f>
        <v>0</v>
      </c>
      <c r="BI98" s="25">
        <f>F98*AP98</f>
        <v>0</v>
      </c>
      <c r="BJ98" s="25">
        <f>F98*G98</f>
        <v>0</v>
      </c>
    </row>
    <row r="99" spans="3:13" ht="12.75" customHeight="1">
      <c r="C99" s="27" t="s">
        <v>72</v>
      </c>
      <c r="D99" s="103" t="s">
        <v>270</v>
      </c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1:62" ht="12.75">
      <c r="A100" s="2" t="s">
        <v>271</v>
      </c>
      <c r="B100" s="2" t="s">
        <v>198</v>
      </c>
      <c r="C100" s="2" t="s">
        <v>272</v>
      </c>
      <c r="D100" s="2" t="s">
        <v>273</v>
      </c>
      <c r="E100" s="2" t="s">
        <v>176</v>
      </c>
      <c r="F100" s="25">
        <v>17.17</v>
      </c>
      <c r="G100" s="25">
        <v>0</v>
      </c>
      <c r="H100" s="25">
        <f>F100*AO100</f>
        <v>0</v>
      </c>
      <c r="I100" s="25">
        <f>F100*AP100</f>
        <v>0</v>
      </c>
      <c r="J100" s="25">
        <f>F100*G100</f>
        <v>0</v>
      </c>
      <c r="K100" s="25">
        <v>0.059</v>
      </c>
      <c r="L100" s="25">
        <f>F100*K100</f>
        <v>1.01303</v>
      </c>
      <c r="M100" s="26" t="s">
        <v>53</v>
      </c>
      <c r="Z100" s="25">
        <f>IF(AQ100="5",BJ100,0)</f>
        <v>0</v>
      </c>
      <c r="AB100" s="25">
        <f>IF(AQ100="1",BH100,0)</f>
        <v>0</v>
      </c>
      <c r="AC100" s="25">
        <f>IF(AQ100="1",BI100,0)</f>
        <v>0</v>
      </c>
      <c r="AD100" s="25">
        <f>IF(AQ100="7",BH100,0)</f>
        <v>0</v>
      </c>
      <c r="AE100" s="25">
        <f>IF(AQ100="7",BI100,0)</f>
        <v>0</v>
      </c>
      <c r="AF100" s="25">
        <f>IF(AQ100="2",BH100,0)</f>
        <v>0</v>
      </c>
      <c r="AG100" s="25">
        <f>IF(AQ100="2",BI100,0)</f>
        <v>0</v>
      </c>
      <c r="AH100" s="25">
        <f>IF(AQ100="0",BJ100,0)</f>
        <v>0</v>
      </c>
      <c r="AI100" s="17" t="s">
        <v>198</v>
      </c>
      <c r="AJ100" s="25">
        <f>IF(AN100=0,J100,0)</f>
        <v>0</v>
      </c>
      <c r="AK100" s="25">
        <f>IF(AN100=15,J100,0)</f>
        <v>0</v>
      </c>
      <c r="AL100" s="25">
        <f>IF(AN100=21,J100,0)</f>
        <v>0</v>
      </c>
      <c r="AN100" s="25">
        <v>21</v>
      </c>
      <c r="AO100" s="25">
        <f>G100*1</f>
        <v>0</v>
      </c>
      <c r="AP100" s="25">
        <f>G100*(1-1)</f>
        <v>0</v>
      </c>
      <c r="AQ100" s="26" t="s">
        <v>49</v>
      </c>
      <c r="AV100" s="25">
        <f>AW100+AX100</f>
        <v>0</v>
      </c>
      <c r="AW100" s="25">
        <f>F100*AO100</f>
        <v>0</v>
      </c>
      <c r="AX100" s="25">
        <f>F100*AP100</f>
        <v>0</v>
      </c>
      <c r="AY100" s="26" t="s">
        <v>269</v>
      </c>
      <c r="AZ100" s="26" t="s">
        <v>254</v>
      </c>
      <c r="BA100" s="17" t="s">
        <v>204</v>
      </c>
      <c r="BC100" s="25">
        <f>AW100+AX100</f>
        <v>0</v>
      </c>
      <c r="BD100" s="25">
        <f>G100/(100-BE100)*100</f>
        <v>0</v>
      </c>
      <c r="BE100" s="25">
        <v>0</v>
      </c>
      <c r="BF100" s="25">
        <f>L100</f>
        <v>1.01303</v>
      </c>
      <c r="BH100" s="25">
        <f>F100*AO100</f>
        <v>0</v>
      </c>
      <c r="BI100" s="25">
        <f>F100*AP100</f>
        <v>0</v>
      </c>
      <c r="BJ100" s="25">
        <f>F100*G100</f>
        <v>0</v>
      </c>
    </row>
    <row r="101" spans="1:62" ht="12.75">
      <c r="A101" s="2" t="s">
        <v>274</v>
      </c>
      <c r="B101" s="2" t="s">
        <v>198</v>
      </c>
      <c r="C101" s="2" t="s">
        <v>275</v>
      </c>
      <c r="D101" s="2" t="s">
        <v>276</v>
      </c>
      <c r="E101" s="2" t="s">
        <v>89</v>
      </c>
      <c r="F101" s="25">
        <v>64.64</v>
      </c>
      <c r="G101" s="25">
        <v>0</v>
      </c>
      <c r="H101" s="25">
        <f>F101*AO101</f>
        <v>0</v>
      </c>
      <c r="I101" s="25">
        <f>F101*AP101</f>
        <v>0</v>
      </c>
      <c r="J101" s="25">
        <f>F101*G101</f>
        <v>0</v>
      </c>
      <c r="K101" s="25">
        <v>0.096</v>
      </c>
      <c r="L101" s="25">
        <f>F101*K101</f>
        <v>6.20544</v>
      </c>
      <c r="M101" s="26" t="s">
        <v>53</v>
      </c>
      <c r="Z101" s="25">
        <f>IF(AQ101="5",BJ101,0)</f>
        <v>0</v>
      </c>
      <c r="AB101" s="25">
        <f>IF(AQ101="1",BH101,0)</f>
        <v>0</v>
      </c>
      <c r="AC101" s="25">
        <f>IF(AQ101="1",BI101,0)</f>
        <v>0</v>
      </c>
      <c r="AD101" s="25">
        <f>IF(AQ101="7",BH101,0)</f>
        <v>0</v>
      </c>
      <c r="AE101" s="25">
        <f>IF(AQ101="7",BI101,0)</f>
        <v>0</v>
      </c>
      <c r="AF101" s="25">
        <f>IF(AQ101="2",BH101,0)</f>
        <v>0</v>
      </c>
      <c r="AG101" s="25">
        <f>IF(AQ101="2",BI101,0)</f>
        <v>0</v>
      </c>
      <c r="AH101" s="25">
        <f>IF(AQ101="0",BJ101,0)</f>
        <v>0</v>
      </c>
      <c r="AI101" s="17" t="s">
        <v>198</v>
      </c>
      <c r="AJ101" s="25">
        <f>IF(AN101=0,J101,0)</f>
        <v>0</v>
      </c>
      <c r="AK101" s="25">
        <f>IF(AN101=15,J101,0)</f>
        <v>0</v>
      </c>
      <c r="AL101" s="25">
        <f>IF(AN101=21,J101,0)</f>
        <v>0</v>
      </c>
      <c r="AN101" s="25">
        <v>21</v>
      </c>
      <c r="AO101" s="25">
        <f>G101*1</f>
        <v>0</v>
      </c>
      <c r="AP101" s="25">
        <f>G101*(1-1)</f>
        <v>0</v>
      </c>
      <c r="AQ101" s="26" t="s">
        <v>49</v>
      </c>
      <c r="AV101" s="25">
        <f>AW101+AX101</f>
        <v>0</v>
      </c>
      <c r="AW101" s="25">
        <f>F101*AO101</f>
        <v>0</v>
      </c>
      <c r="AX101" s="25">
        <f>F101*AP101</f>
        <v>0</v>
      </c>
      <c r="AY101" s="26" t="s">
        <v>269</v>
      </c>
      <c r="AZ101" s="26" t="s">
        <v>254</v>
      </c>
      <c r="BA101" s="17" t="s">
        <v>204</v>
      </c>
      <c r="BC101" s="25">
        <f>AW101+AX101</f>
        <v>0</v>
      </c>
      <c r="BD101" s="25">
        <f>G101/(100-BE101)*100</f>
        <v>0</v>
      </c>
      <c r="BE101" s="25">
        <v>0</v>
      </c>
      <c r="BF101" s="25">
        <f>L101</f>
        <v>6.20544</v>
      </c>
      <c r="BH101" s="25">
        <f>F101*AO101</f>
        <v>0</v>
      </c>
      <c r="BI101" s="25">
        <f>F101*AP101</f>
        <v>0</v>
      </c>
      <c r="BJ101" s="25">
        <f>F101*G101</f>
        <v>0</v>
      </c>
    </row>
    <row r="102" spans="1:47" ht="12.75">
      <c r="A102" s="22"/>
      <c r="B102" s="23" t="s">
        <v>198</v>
      </c>
      <c r="C102" s="23" t="s">
        <v>221</v>
      </c>
      <c r="D102" s="23" t="s">
        <v>277</v>
      </c>
      <c r="E102" s="22" t="s">
        <v>3</v>
      </c>
      <c r="F102" s="22" t="s">
        <v>3</v>
      </c>
      <c r="G102" s="22" t="s">
        <v>3</v>
      </c>
      <c r="H102" s="24">
        <f>SUM(H103:H105)</f>
        <v>0</v>
      </c>
      <c r="I102" s="24">
        <f>SUM(I103:I105)</f>
        <v>0</v>
      </c>
      <c r="J102" s="24">
        <f>SUM(J103:J105)</f>
        <v>0</v>
      </c>
      <c r="K102" s="17"/>
      <c r="L102" s="24">
        <f>SUM(L103:L105)</f>
        <v>213.64386</v>
      </c>
      <c r="M102" s="17"/>
      <c r="AI102" s="17" t="s">
        <v>198</v>
      </c>
      <c r="AS102" s="24">
        <f>SUM(AJ103:AJ105)</f>
        <v>0</v>
      </c>
      <c r="AT102" s="24">
        <f>SUM(AK103:AK105)</f>
        <v>0</v>
      </c>
      <c r="AU102" s="24">
        <f>SUM(AL103:AL105)</f>
        <v>0</v>
      </c>
    </row>
    <row r="103" spans="1:62" ht="12.75">
      <c r="A103" s="2" t="s">
        <v>278</v>
      </c>
      <c r="B103" s="2" t="s">
        <v>198</v>
      </c>
      <c r="C103" s="2" t="s">
        <v>279</v>
      </c>
      <c r="D103" s="2" t="s">
        <v>280</v>
      </c>
      <c r="E103" s="2" t="s">
        <v>176</v>
      </c>
      <c r="F103" s="25">
        <v>245</v>
      </c>
      <c r="G103" s="25">
        <v>0</v>
      </c>
      <c r="H103" s="25">
        <f>F103*AO103</f>
        <v>0</v>
      </c>
      <c r="I103" s="25">
        <f>F103*AP103</f>
        <v>0</v>
      </c>
      <c r="J103" s="25">
        <f>F103*G103</f>
        <v>0</v>
      </c>
      <c r="K103" s="25">
        <v>0.16058</v>
      </c>
      <c r="L103" s="25">
        <f>F103*K103</f>
        <v>39.3421</v>
      </c>
      <c r="M103" s="26" t="s">
        <v>53</v>
      </c>
      <c r="Z103" s="25">
        <f>IF(AQ103="5",BJ103,0)</f>
        <v>0</v>
      </c>
      <c r="AB103" s="25">
        <f>IF(AQ103="1",BH103,0)</f>
        <v>0</v>
      </c>
      <c r="AC103" s="25">
        <f>IF(AQ103="1",BI103,0)</f>
        <v>0</v>
      </c>
      <c r="AD103" s="25">
        <f>IF(AQ103="7",BH103,0)</f>
        <v>0</v>
      </c>
      <c r="AE103" s="25">
        <f>IF(AQ103="7",BI103,0)</f>
        <v>0</v>
      </c>
      <c r="AF103" s="25">
        <f>IF(AQ103="2",BH103,0)</f>
        <v>0</v>
      </c>
      <c r="AG103" s="25">
        <f>IF(AQ103="2",BI103,0)</f>
        <v>0</v>
      </c>
      <c r="AH103" s="25">
        <f>IF(AQ103="0",BJ103,0)</f>
        <v>0</v>
      </c>
      <c r="AI103" s="17" t="s">
        <v>198</v>
      </c>
      <c r="AJ103" s="25">
        <f>IF(AN103=0,J103,0)</f>
        <v>0</v>
      </c>
      <c r="AK103" s="25">
        <f>IF(AN103=15,J103,0)</f>
        <v>0</v>
      </c>
      <c r="AL103" s="25">
        <f>IF(AN103=21,J103,0)</f>
        <v>0</v>
      </c>
      <c r="AN103" s="25">
        <v>21</v>
      </c>
      <c r="AO103" s="25">
        <f>G103*0.181973231838134</f>
        <v>0</v>
      </c>
      <c r="AP103" s="25">
        <f>G103*(1-0.181973231838134)</f>
        <v>0</v>
      </c>
      <c r="AQ103" s="26" t="s">
        <v>49</v>
      </c>
      <c r="AV103" s="25">
        <f>AW103+AX103</f>
        <v>0</v>
      </c>
      <c r="AW103" s="25">
        <f>F103*AO103</f>
        <v>0</v>
      </c>
      <c r="AX103" s="25">
        <f>F103*AP103</f>
        <v>0</v>
      </c>
      <c r="AY103" s="26" t="s">
        <v>281</v>
      </c>
      <c r="AZ103" s="26" t="s">
        <v>254</v>
      </c>
      <c r="BA103" s="17" t="s">
        <v>204</v>
      </c>
      <c r="BC103" s="25">
        <f>AW103+AX103</f>
        <v>0</v>
      </c>
      <c r="BD103" s="25">
        <f>G103/(100-BE103)*100</f>
        <v>0</v>
      </c>
      <c r="BE103" s="25">
        <v>0</v>
      </c>
      <c r="BF103" s="25">
        <f>L103</f>
        <v>39.3421</v>
      </c>
      <c r="BH103" s="25">
        <f>F103*AO103</f>
        <v>0</v>
      </c>
      <c r="BI103" s="25">
        <f>F103*AP103</f>
        <v>0</v>
      </c>
      <c r="BJ103" s="25">
        <f>F103*G103</f>
        <v>0</v>
      </c>
    </row>
    <row r="104" spans="1:62" ht="12.75">
      <c r="A104" s="2" t="s">
        <v>282</v>
      </c>
      <c r="B104" s="2" t="s">
        <v>198</v>
      </c>
      <c r="C104" s="2" t="s">
        <v>283</v>
      </c>
      <c r="D104" s="2" t="s">
        <v>284</v>
      </c>
      <c r="E104" s="2" t="s">
        <v>176</v>
      </c>
      <c r="F104" s="25">
        <v>214.12</v>
      </c>
      <c r="G104" s="25">
        <v>0</v>
      </c>
      <c r="H104" s="25">
        <f>F104*AO104</f>
        <v>0</v>
      </c>
      <c r="I104" s="25">
        <f>F104*AP104</f>
        <v>0</v>
      </c>
      <c r="J104" s="25">
        <f>F104*G104</f>
        <v>0</v>
      </c>
      <c r="K104" s="25">
        <v>0.758</v>
      </c>
      <c r="L104" s="25">
        <f>F104*K104</f>
        <v>162.30296</v>
      </c>
      <c r="M104" s="26" t="s">
        <v>123</v>
      </c>
      <c r="Z104" s="25">
        <f>IF(AQ104="5",BJ104,0)</f>
        <v>0</v>
      </c>
      <c r="AB104" s="25">
        <f>IF(AQ104="1",BH104,0)</f>
        <v>0</v>
      </c>
      <c r="AC104" s="25">
        <f>IF(AQ104="1",BI104,0)</f>
        <v>0</v>
      </c>
      <c r="AD104" s="25">
        <f>IF(AQ104="7",BH104,0)</f>
        <v>0</v>
      </c>
      <c r="AE104" s="25">
        <f>IF(AQ104="7",BI104,0)</f>
        <v>0</v>
      </c>
      <c r="AF104" s="25">
        <f>IF(AQ104="2",BH104,0)</f>
        <v>0</v>
      </c>
      <c r="AG104" s="25">
        <f>IF(AQ104="2",BI104,0)</f>
        <v>0</v>
      </c>
      <c r="AH104" s="25">
        <f>IF(AQ104="0",BJ104,0)</f>
        <v>0</v>
      </c>
      <c r="AI104" s="17" t="s">
        <v>198</v>
      </c>
      <c r="AJ104" s="25">
        <f>IF(AN104=0,J104,0)</f>
        <v>0</v>
      </c>
      <c r="AK104" s="25">
        <f>IF(AN104=15,J104,0)</f>
        <v>0</v>
      </c>
      <c r="AL104" s="25">
        <f>IF(AN104=21,J104,0)</f>
        <v>0</v>
      </c>
      <c r="AN104" s="25">
        <v>21</v>
      </c>
      <c r="AO104" s="25">
        <f>G104*1</f>
        <v>0</v>
      </c>
      <c r="AP104" s="25">
        <f>G104*(1-1)</f>
        <v>0</v>
      </c>
      <c r="AQ104" s="26" t="s">
        <v>49</v>
      </c>
      <c r="AV104" s="25">
        <f>AW104+AX104</f>
        <v>0</v>
      </c>
      <c r="AW104" s="25">
        <f>F104*AO104</f>
        <v>0</v>
      </c>
      <c r="AX104" s="25">
        <f>F104*AP104</f>
        <v>0</v>
      </c>
      <c r="AY104" s="26" t="s">
        <v>281</v>
      </c>
      <c r="AZ104" s="26" t="s">
        <v>254</v>
      </c>
      <c r="BA104" s="17" t="s">
        <v>204</v>
      </c>
      <c r="BC104" s="25">
        <f>AW104+AX104</f>
        <v>0</v>
      </c>
      <c r="BD104" s="25">
        <f>G104/(100-BE104)*100</f>
        <v>0</v>
      </c>
      <c r="BE104" s="25">
        <v>0</v>
      </c>
      <c r="BF104" s="25">
        <f>L104</f>
        <v>162.30296</v>
      </c>
      <c r="BH104" s="25">
        <f>F104*AO104</f>
        <v>0</v>
      </c>
      <c r="BI104" s="25">
        <f>F104*AP104</f>
        <v>0</v>
      </c>
      <c r="BJ104" s="25">
        <f>F104*G104</f>
        <v>0</v>
      </c>
    </row>
    <row r="105" spans="1:62" ht="12.75">
      <c r="A105" s="2" t="s">
        <v>285</v>
      </c>
      <c r="B105" s="2" t="s">
        <v>198</v>
      </c>
      <c r="C105" s="2" t="s">
        <v>283</v>
      </c>
      <c r="D105" s="2" t="s">
        <v>286</v>
      </c>
      <c r="E105" s="2" t="s">
        <v>176</v>
      </c>
      <c r="F105" s="25">
        <v>33.33</v>
      </c>
      <c r="G105" s="25">
        <v>0</v>
      </c>
      <c r="H105" s="25">
        <f>F105*AO105</f>
        <v>0</v>
      </c>
      <c r="I105" s="25">
        <f>F105*AP105</f>
        <v>0</v>
      </c>
      <c r="J105" s="25">
        <f>F105*G105</f>
        <v>0</v>
      </c>
      <c r="K105" s="25">
        <v>0.36</v>
      </c>
      <c r="L105" s="25">
        <f>F105*K105</f>
        <v>11.9988</v>
      </c>
      <c r="M105" s="26" t="s">
        <v>53</v>
      </c>
      <c r="Z105" s="25">
        <f>IF(AQ105="5",BJ105,0)</f>
        <v>0</v>
      </c>
      <c r="AB105" s="25">
        <f>IF(AQ105="1",BH105,0)</f>
        <v>0</v>
      </c>
      <c r="AC105" s="25">
        <f>IF(AQ105="1",BI105,0)</f>
        <v>0</v>
      </c>
      <c r="AD105" s="25">
        <f>IF(AQ105="7",BH105,0)</f>
        <v>0</v>
      </c>
      <c r="AE105" s="25">
        <f>IF(AQ105="7",BI105,0)</f>
        <v>0</v>
      </c>
      <c r="AF105" s="25">
        <f>IF(AQ105="2",BH105,0)</f>
        <v>0</v>
      </c>
      <c r="AG105" s="25">
        <f>IF(AQ105="2",BI105,0)</f>
        <v>0</v>
      </c>
      <c r="AH105" s="25">
        <f>IF(AQ105="0",BJ105,0)</f>
        <v>0</v>
      </c>
      <c r="AI105" s="17" t="s">
        <v>198</v>
      </c>
      <c r="AJ105" s="25">
        <f>IF(AN105=0,J105,0)</f>
        <v>0</v>
      </c>
      <c r="AK105" s="25">
        <f>IF(AN105=15,J105,0)</f>
        <v>0</v>
      </c>
      <c r="AL105" s="25">
        <f>IF(AN105=21,J105,0)</f>
        <v>0</v>
      </c>
      <c r="AN105" s="25">
        <v>21</v>
      </c>
      <c r="AO105" s="25">
        <f>G105*1</f>
        <v>0</v>
      </c>
      <c r="AP105" s="25">
        <f>G105*(1-1)</f>
        <v>0</v>
      </c>
      <c r="AQ105" s="26" t="s">
        <v>49</v>
      </c>
      <c r="AV105" s="25">
        <f>AW105+AX105</f>
        <v>0</v>
      </c>
      <c r="AW105" s="25">
        <f>F105*AO105</f>
        <v>0</v>
      </c>
      <c r="AX105" s="25">
        <f>F105*AP105</f>
        <v>0</v>
      </c>
      <c r="AY105" s="26" t="s">
        <v>281</v>
      </c>
      <c r="AZ105" s="26" t="s">
        <v>254</v>
      </c>
      <c r="BA105" s="17" t="s">
        <v>204</v>
      </c>
      <c r="BC105" s="25">
        <f>AW105+AX105</f>
        <v>0</v>
      </c>
      <c r="BD105" s="25">
        <f>G105/(100-BE105)*100</f>
        <v>0</v>
      </c>
      <c r="BE105" s="25">
        <v>0</v>
      </c>
      <c r="BF105" s="25">
        <f>L105</f>
        <v>11.9988</v>
      </c>
      <c r="BH105" s="25">
        <f>F105*AO105</f>
        <v>0</v>
      </c>
      <c r="BI105" s="25">
        <f>F105*AP105</f>
        <v>0</v>
      </c>
      <c r="BJ105" s="25">
        <f>F105*G105</f>
        <v>0</v>
      </c>
    </row>
    <row r="106" spans="1:47" ht="12.75">
      <c r="A106" s="22"/>
      <c r="B106" s="23" t="s">
        <v>198</v>
      </c>
      <c r="C106" s="23" t="s">
        <v>150</v>
      </c>
      <c r="D106" s="23" t="s">
        <v>151</v>
      </c>
      <c r="E106" s="22" t="s">
        <v>3</v>
      </c>
      <c r="F106" s="22" t="s">
        <v>3</v>
      </c>
      <c r="G106" s="22" t="s">
        <v>3</v>
      </c>
      <c r="H106" s="24">
        <f>SUM(H107:H108)</f>
        <v>0</v>
      </c>
      <c r="I106" s="24">
        <f>SUM(I107:I108)</f>
        <v>0</v>
      </c>
      <c r="J106" s="24">
        <f>SUM(J107:J108)</f>
        <v>0</v>
      </c>
      <c r="K106" s="17"/>
      <c r="L106" s="24">
        <f>SUM(L107:L108)</f>
        <v>0.007640000000000001</v>
      </c>
      <c r="M106" s="17"/>
      <c r="AI106" s="17" t="s">
        <v>198</v>
      </c>
      <c r="AS106" s="24">
        <f>SUM(AJ107:AJ108)</f>
        <v>0</v>
      </c>
      <c r="AT106" s="24">
        <f>SUM(AK107:AK108)</f>
        <v>0</v>
      </c>
      <c r="AU106" s="24">
        <f>SUM(AL107:AL108)</f>
        <v>0</v>
      </c>
    </row>
    <row r="107" spans="1:62" ht="12.75">
      <c r="A107" s="2" t="s">
        <v>104</v>
      </c>
      <c r="B107" s="2" t="s">
        <v>198</v>
      </c>
      <c r="C107" s="2" t="s">
        <v>287</v>
      </c>
      <c r="D107" s="2" t="s">
        <v>288</v>
      </c>
      <c r="E107" s="2" t="s">
        <v>89</v>
      </c>
      <c r="F107" s="25">
        <v>95.5</v>
      </c>
      <c r="G107" s="25">
        <v>0</v>
      </c>
      <c r="H107" s="25">
        <f>F107*AO107</f>
        <v>0</v>
      </c>
      <c r="I107" s="25">
        <f>F107*AP107</f>
        <v>0</v>
      </c>
      <c r="J107" s="25">
        <f>F107*G107</f>
        <v>0</v>
      </c>
      <c r="K107" s="25">
        <v>8E-05</v>
      </c>
      <c r="L107" s="25">
        <f>F107*K107</f>
        <v>0.007640000000000001</v>
      </c>
      <c r="M107" s="26" t="s">
        <v>53</v>
      </c>
      <c r="Z107" s="25">
        <f>IF(AQ107="5",BJ107,0)</f>
        <v>0</v>
      </c>
      <c r="AB107" s="25">
        <f>IF(AQ107="1",BH107,0)</f>
        <v>0</v>
      </c>
      <c r="AC107" s="25">
        <f>IF(AQ107="1",BI107,0)</f>
        <v>0</v>
      </c>
      <c r="AD107" s="25">
        <f>IF(AQ107="7",BH107,0)</f>
        <v>0</v>
      </c>
      <c r="AE107" s="25">
        <f>IF(AQ107="7",BI107,0)</f>
        <v>0</v>
      </c>
      <c r="AF107" s="25">
        <f>IF(AQ107="2",BH107,0)</f>
        <v>0</v>
      </c>
      <c r="AG107" s="25">
        <f>IF(AQ107="2",BI107,0)</f>
        <v>0</v>
      </c>
      <c r="AH107" s="25">
        <f>IF(AQ107="0",BJ107,0)</f>
        <v>0</v>
      </c>
      <c r="AI107" s="17" t="s">
        <v>198</v>
      </c>
      <c r="AJ107" s="25">
        <f>IF(AN107=0,J107,0)</f>
        <v>0</v>
      </c>
      <c r="AK107" s="25">
        <f>IF(AN107=15,J107,0)</f>
        <v>0</v>
      </c>
      <c r="AL107" s="25">
        <f>IF(AN107=21,J107,0)</f>
        <v>0</v>
      </c>
      <c r="AN107" s="25">
        <v>21</v>
      </c>
      <c r="AO107" s="25">
        <f>G107*0.221296296296296</f>
        <v>0</v>
      </c>
      <c r="AP107" s="25">
        <f>G107*(1-0.221296296296296)</f>
        <v>0</v>
      </c>
      <c r="AQ107" s="26" t="s">
        <v>86</v>
      </c>
      <c r="AV107" s="25">
        <f>AW107+AX107</f>
        <v>0</v>
      </c>
      <c r="AW107" s="25">
        <f>F107*AO107</f>
        <v>0</v>
      </c>
      <c r="AX107" s="25">
        <f>F107*AP107</f>
        <v>0</v>
      </c>
      <c r="AY107" s="26" t="s">
        <v>155</v>
      </c>
      <c r="AZ107" s="26" t="s">
        <v>289</v>
      </c>
      <c r="BA107" s="17" t="s">
        <v>204</v>
      </c>
      <c r="BC107" s="25">
        <f>AW107+AX107</f>
        <v>0</v>
      </c>
      <c r="BD107" s="25">
        <f>G107/(100-BE107)*100</f>
        <v>0</v>
      </c>
      <c r="BE107" s="25">
        <v>0</v>
      </c>
      <c r="BF107" s="25">
        <f>L107</f>
        <v>0.007640000000000001</v>
      </c>
      <c r="BH107" s="25">
        <f>F107*AO107</f>
        <v>0</v>
      </c>
      <c r="BI107" s="25">
        <f>F107*AP107</f>
        <v>0</v>
      </c>
      <c r="BJ107" s="25">
        <f>F107*G107</f>
        <v>0</v>
      </c>
    </row>
    <row r="108" spans="1:62" ht="12.75">
      <c r="A108" s="2" t="s">
        <v>290</v>
      </c>
      <c r="B108" s="2" t="s">
        <v>198</v>
      </c>
      <c r="C108" s="2" t="s">
        <v>159</v>
      </c>
      <c r="D108" s="2" t="s">
        <v>160</v>
      </c>
      <c r="E108" s="2" t="s">
        <v>145</v>
      </c>
      <c r="F108" s="25">
        <v>0.0076</v>
      </c>
      <c r="G108" s="25">
        <v>0</v>
      </c>
      <c r="H108" s="25">
        <f>F108*AO108</f>
        <v>0</v>
      </c>
      <c r="I108" s="25">
        <f>F108*AP108</f>
        <v>0</v>
      </c>
      <c r="J108" s="25">
        <f>F108*G108</f>
        <v>0</v>
      </c>
      <c r="K108" s="25">
        <v>0</v>
      </c>
      <c r="L108" s="25">
        <f>F108*K108</f>
        <v>0</v>
      </c>
      <c r="M108" s="26" t="s">
        <v>53</v>
      </c>
      <c r="Z108" s="25">
        <f>IF(AQ108="5",BJ108,0)</f>
        <v>0</v>
      </c>
      <c r="AB108" s="25">
        <f>IF(AQ108="1",BH108,0)</f>
        <v>0</v>
      </c>
      <c r="AC108" s="25">
        <f>IF(AQ108="1",BI108,0)</f>
        <v>0</v>
      </c>
      <c r="AD108" s="25">
        <f>IF(AQ108="7",BH108,0)</f>
        <v>0</v>
      </c>
      <c r="AE108" s="25">
        <f>IF(AQ108="7",BI108,0)</f>
        <v>0</v>
      </c>
      <c r="AF108" s="25">
        <f>IF(AQ108="2",BH108,0)</f>
        <v>0</v>
      </c>
      <c r="AG108" s="25">
        <f>IF(AQ108="2",BI108,0)</f>
        <v>0</v>
      </c>
      <c r="AH108" s="25">
        <f>IF(AQ108="0",BJ108,0)</f>
        <v>0</v>
      </c>
      <c r="AI108" s="17" t="s">
        <v>198</v>
      </c>
      <c r="AJ108" s="25">
        <f>IF(AN108=0,J108,0)</f>
        <v>0</v>
      </c>
      <c r="AK108" s="25">
        <f>IF(AN108=15,J108,0)</f>
        <v>0</v>
      </c>
      <c r="AL108" s="25">
        <f>IF(AN108=21,J108,0)</f>
        <v>0</v>
      </c>
      <c r="AN108" s="25">
        <v>21</v>
      </c>
      <c r="AO108" s="25">
        <f>G108*0</f>
        <v>0</v>
      </c>
      <c r="AP108" s="25">
        <f>G108*(1-0)</f>
        <v>0</v>
      </c>
      <c r="AQ108" s="26" t="s">
        <v>74</v>
      </c>
      <c r="AV108" s="25">
        <f>AW108+AX108</f>
        <v>0</v>
      </c>
      <c r="AW108" s="25">
        <f>F108*AO108</f>
        <v>0</v>
      </c>
      <c r="AX108" s="25">
        <f>F108*AP108</f>
        <v>0</v>
      </c>
      <c r="AY108" s="26" t="s">
        <v>155</v>
      </c>
      <c r="AZ108" s="26" t="s">
        <v>289</v>
      </c>
      <c r="BA108" s="17" t="s">
        <v>204</v>
      </c>
      <c r="BC108" s="25">
        <f>AW108+AX108</f>
        <v>0</v>
      </c>
      <c r="BD108" s="25">
        <f>G108/(100-BE108)*100</f>
        <v>0</v>
      </c>
      <c r="BE108" s="25">
        <v>0</v>
      </c>
      <c r="BF108" s="25">
        <f>L108</f>
        <v>0</v>
      </c>
      <c r="BH108" s="25">
        <f>F108*AO108</f>
        <v>0</v>
      </c>
      <c r="BI108" s="25">
        <f>F108*AP108</f>
        <v>0</v>
      </c>
      <c r="BJ108" s="25">
        <f>F108*G108</f>
        <v>0</v>
      </c>
    </row>
    <row r="109" spans="1:47" ht="12.75">
      <c r="A109" s="22"/>
      <c r="B109" s="23" t="s">
        <v>198</v>
      </c>
      <c r="C109" s="23" t="s">
        <v>291</v>
      </c>
      <c r="D109" s="23" t="s">
        <v>292</v>
      </c>
      <c r="E109" s="22" t="s">
        <v>3</v>
      </c>
      <c r="F109" s="22" t="s">
        <v>3</v>
      </c>
      <c r="G109" s="22" t="s">
        <v>3</v>
      </c>
      <c r="H109" s="24">
        <f>SUM(H110:H112)</f>
        <v>0</v>
      </c>
      <c r="I109" s="24">
        <f>SUM(I110:I112)</f>
        <v>0</v>
      </c>
      <c r="J109" s="24">
        <f>SUM(J110:J112)</f>
        <v>0</v>
      </c>
      <c r="K109" s="17"/>
      <c r="L109" s="24">
        <f>SUM(L110:L112)</f>
        <v>1.901</v>
      </c>
      <c r="M109" s="17"/>
      <c r="AI109" s="17" t="s">
        <v>198</v>
      </c>
      <c r="AS109" s="24">
        <f>SUM(AJ110:AJ112)</f>
        <v>0</v>
      </c>
      <c r="AT109" s="24">
        <f>SUM(AK110:AK112)</f>
        <v>0</v>
      </c>
      <c r="AU109" s="24">
        <f>SUM(AL110:AL112)</f>
        <v>0</v>
      </c>
    </row>
    <row r="110" spans="1:62" ht="12.75">
      <c r="A110" s="2" t="s">
        <v>126</v>
      </c>
      <c r="B110" s="2" t="s">
        <v>198</v>
      </c>
      <c r="C110" s="2" t="s">
        <v>293</v>
      </c>
      <c r="D110" s="2" t="s">
        <v>294</v>
      </c>
      <c r="E110" s="2" t="s">
        <v>176</v>
      </c>
      <c r="F110" s="25">
        <v>2</v>
      </c>
      <c r="G110" s="25">
        <v>0</v>
      </c>
      <c r="H110" s="25">
        <f>F110*AO110</f>
        <v>0</v>
      </c>
      <c r="I110" s="25">
        <f>F110*AP110</f>
        <v>0</v>
      </c>
      <c r="J110" s="25">
        <f>F110*G110</f>
        <v>0</v>
      </c>
      <c r="K110" s="25">
        <v>0.9505</v>
      </c>
      <c r="L110" s="25">
        <f>F110*K110</f>
        <v>1.901</v>
      </c>
      <c r="M110" s="26" t="s">
        <v>53</v>
      </c>
      <c r="Z110" s="25">
        <f>IF(AQ110="5",BJ110,0)</f>
        <v>0</v>
      </c>
      <c r="AB110" s="25">
        <f>IF(AQ110="1",BH110,0)</f>
        <v>0</v>
      </c>
      <c r="AC110" s="25">
        <f>IF(AQ110="1",BI110,0)</f>
        <v>0</v>
      </c>
      <c r="AD110" s="25">
        <f>IF(AQ110="7",BH110,0)</f>
        <v>0</v>
      </c>
      <c r="AE110" s="25">
        <f>IF(AQ110="7",BI110,0)</f>
        <v>0</v>
      </c>
      <c r="AF110" s="25">
        <f>IF(AQ110="2",BH110,0)</f>
        <v>0</v>
      </c>
      <c r="AG110" s="25">
        <f>IF(AQ110="2",BI110,0)</f>
        <v>0</v>
      </c>
      <c r="AH110" s="25">
        <f>IF(AQ110="0",BJ110,0)</f>
        <v>0</v>
      </c>
      <c r="AI110" s="17" t="s">
        <v>198</v>
      </c>
      <c r="AJ110" s="25">
        <f>IF(AN110=0,J110,0)</f>
        <v>0</v>
      </c>
      <c r="AK110" s="25">
        <f>IF(AN110=15,J110,0)</f>
        <v>0</v>
      </c>
      <c r="AL110" s="25">
        <f>IF(AN110=21,J110,0)</f>
        <v>0</v>
      </c>
      <c r="AN110" s="25">
        <v>21</v>
      </c>
      <c r="AO110" s="25">
        <f>G110*0.0314531428571429</f>
        <v>0</v>
      </c>
      <c r="AP110" s="25">
        <f>G110*(1-0.0314531428571429)</f>
        <v>0</v>
      </c>
      <c r="AQ110" s="26" t="s">
        <v>86</v>
      </c>
      <c r="AV110" s="25">
        <f>AW110+AX110</f>
        <v>0</v>
      </c>
      <c r="AW110" s="25">
        <f>F110*AO110</f>
        <v>0</v>
      </c>
      <c r="AX110" s="25">
        <f>F110*AP110</f>
        <v>0</v>
      </c>
      <c r="AY110" s="26" t="s">
        <v>295</v>
      </c>
      <c r="AZ110" s="26" t="s">
        <v>296</v>
      </c>
      <c r="BA110" s="17" t="s">
        <v>204</v>
      </c>
      <c r="BC110" s="25">
        <f>AW110+AX110</f>
        <v>0</v>
      </c>
      <c r="BD110" s="25">
        <f>G110/(100-BE110)*100</f>
        <v>0</v>
      </c>
      <c r="BE110" s="25">
        <v>0</v>
      </c>
      <c r="BF110" s="25">
        <f>L110</f>
        <v>1.901</v>
      </c>
      <c r="BH110" s="25">
        <f>F110*AO110</f>
        <v>0</v>
      </c>
      <c r="BI110" s="25">
        <f>F110*AP110</f>
        <v>0</v>
      </c>
      <c r="BJ110" s="25">
        <f>F110*G110</f>
        <v>0</v>
      </c>
    </row>
    <row r="111" spans="3:13" ht="12.75" customHeight="1">
      <c r="C111" s="27" t="s">
        <v>72</v>
      </c>
      <c r="D111" s="103" t="s">
        <v>297</v>
      </c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1:62" ht="12.75">
      <c r="A112" s="2" t="s">
        <v>298</v>
      </c>
      <c r="B112" s="2" t="s">
        <v>198</v>
      </c>
      <c r="C112" s="2" t="s">
        <v>299</v>
      </c>
      <c r="D112" s="2" t="s">
        <v>300</v>
      </c>
      <c r="E112" s="2" t="s">
        <v>301</v>
      </c>
      <c r="F112" s="25">
        <v>1740.5</v>
      </c>
      <c r="G112" s="25">
        <v>0</v>
      </c>
      <c r="H112" s="25">
        <f>F112*AO112</f>
        <v>0</v>
      </c>
      <c r="I112" s="25">
        <f>F112*AP112</f>
        <v>0</v>
      </c>
      <c r="J112" s="25">
        <f>F112*G112</f>
        <v>0</v>
      </c>
      <c r="K112" s="25">
        <v>0</v>
      </c>
      <c r="L112" s="25">
        <f>F112*K112</f>
        <v>0</v>
      </c>
      <c r="M112" s="26" t="s">
        <v>53</v>
      </c>
      <c r="Z112" s="25">
        <f>IF(AQ112="5",BJ112,0)</f>
        <v>0</v>
      </c>
      <c r="AB112" s="25">
        <f>IF(AQ112="1",BH112,0)</f>
        <v>0</v>
      </c>
      <c r="AC112" s="25">
        <f>IF(AQ112="1",BI112,0)</f>
        <v>0</v>
      </c>
      <c r="AD112" s="25">
        <f>IF(AQ112="7",BH112,0)</f>
        <v>0</v>
      </c>
      <c r="AE112" s="25">
        <f>IF(AQ112="7",BI112,0)</f>
        <v>0</v>
      </c>
      <c r="AF112" s="25">
        <f>IF(AQ112="2",BH112,0)</f>
        <v>0</v>
      </c>
      <c r="AG112" s="25">
        <f>IF(AQ112="2",BI112,0)</f>
        <v>0</v>
      </c>
      <c r="AH112" s="25">
        <f>IF(AQ112="0",BJ112,0)</f>
        <v>0</v>
      </c>
      <c r="AI112" s="17" t="s">
        <v>198</v>
      </c>
      <c r="AJ112" s="25">
        <f>IF(AN112=0,J112,0)</f>
        <v>0</v>
      </c>
      <c r="AK112" s="25">
        <f>IF(AN112=15,J112,0)</f>
        <v>0</v>
      </c>
      <c r="AL112" s="25">
        <f>IF(AN112=21,J112,0)</f>
        <v>0</v>
      </c>
      <c r="AN112" s="25">
        <v>21</v>
      </c>
      <c r="AO112" s="25">
        <f>G112*0</f>
        <v>0</v>
      </c>
      <c r="AP112" s="25">
        <f>G112*(1-0)</f>
        <v>0</v>
      </c>
      <c r="AQ112" s="26" t="s">
        <v>74</v>
      </c>
      <c r="AV112" s="25">
        <f>AW112+AX112</f>
        <v>0</v>
      </c>
      <c r="AW112" s="25">
        <f>F112*AO112</f>
        <v>0</v>
      </c>
      <c r="AX112" s="25">
        <f>F112*AP112</f>
        <v>0</v>
      </c>
      <c r="AY112" s="26" t="s">
        <v>295</v>
      </c>
      <c r="AZ112" s="26" t="s">
        <v>296</v>
      </c>
      <c r="BA112" s="17" t="s">
        <v>204</v>
      </c>
      <c r="BC112" s="25">
        <f>AW112+AX112</f>
        <v>0</v>
      </c>
      <c r="BD112" s="25">
        <f>G112/(100-BE112)*100</f>
        <v>0</v>
      </c>
      <c r="BE112" s="25">
        <v>0</v>
      </c>
      <c r="BF112" s="25">
        <f>L112</f>
        <v>0</v>
      </c>
      <c r="BH112" s="25">
        <f>F112*AO112</f>
        <v>0</v>
      </c>
      <c r="BI112" s="25">
        <f>F112*AP112</f>
        <v>0</v>
      </c>
      <c r="BJ112" s="25">
        <f>F112*G112</f>
        <v>0</v>
      </c>
    </row>
    <row r="113" spans="1:47" ht="12.75">
      <c r="A113" s="22"/>
      <c r="B113" s="23" t="s">
        <v>198</v>
      </c>
      <c r="C113" s="23" t="s">
        <v>302</v>
      </c>
      <c r="D113" s="23" t="s">
        <v>303</v>
      </c>
      <c r="E113" s="22" t="s">
        <v>3</v>
      </c>
      <c r="F113" s="22" t="s">
        <v>3</v>
      </c>
      <c r="G113" s="22" t="s">
        <v>3</v>
      </c>
      <c r="H113" s="24">
        <f>SUM(H114:H115)</f>
        <v>0</v>
      </c>
      <c r="I113" s="24">
        <f>SUM(I114:I115)</f>
        <v>0</v>
      </c>
      <c r="J113" s="24">
        <f>SUM(J114:J115)</f>
        <v>0</v>
      </c>
      <c r="K113" s="17"/>
      <c r="L113" s="24">
        <f>SUM(L114:L115)</f>
        <v>3.08</v>
      </c>
      <c r="M113" s="17"/>
      <c r="AI113" s="17" t="s">
        <v>198</v>
      </c>
      <c r="AS113" s="24">
        <f>SUM(AJ114:AJ115)</f>
        <v>0</v>
      </c>
      <c r="AT113" s="24">
        <f>SUM(AK114:AK115)</f>
        <v>0</v>
      </c>
      <c r="AU113" s="24">
        <f>SUM(AL114:AL115)</f>
        <v>0</v>
      </c>
    </row>
    <row r="114" spans="1:62" ht="12.75">
      <c r="A114" s="2" t="s">
        <v>304</v>
      </c>
      <c r="B114" s="2" t="s">
        <v>198</v>
      </c>
      <c r="C114" s="2" t="s">
        <v>305</v>
      </c>
      <c r="D114" s="2" t="s">
        <v>306</v>
      </c>
      <c r="E114" s="2" t="s">
        <v>77</v>
      </c>
      <c r="F114" s="25">
        <v>84</v>
      </c>
      <c r="G114" s="25">
        <v>0</v>
      </c>
      <c r="H114" s="25">
        <f>F114*AO114</f>
        <v>0</v>
      </c>
      <c r="I114" s="25">
        <f>F114*AP114</f>
        <v>0</v>
      </c>
      <c r="J114" s="25">
        <f>F114*G114</f>
        <v>0</v>
      </c>
      <c r="K114" s="25">
        <v>0.01</v>
      </c>
      <c r="L114" s="25">
        <f>F114*K114</f>
        <v>0.84</v>
      </c>
      <c r="M114" s="26" t="s">
        <v>53</v>
      </c>
      <c r="Z114" s="25">
        <f>IF(AQ114="5",BJ114,0)</f>
        <v>0</v>
      </c>
      <c r="AB114" s="25">
        <f>IF(AQ114="1",BH114,0)</f>
        <v>0</v>
      </c>
      <c r="AC114" s="25">
        <f>IF(AQ114="1",BI114,0)</f>
        <v>0</v>
      </c>
      <c r="AD114" s="25">
        <f>IF(AQ114="7",BH114,0)</f>
        <v>0</v>
      </c>
      <c r="AE114" s="25">
        <f>IF(AQ114="7",BI114,0)</f>
        <v>0</v>
      </c>
      <c r="AF114" s="25">
        <f>IF(AQ114="2",BH114,0)</f>
        <v>0</v>
      </c>
      <c r="AG114" s="25">
        <f>IF(AQ114="2",BI114,0)</f>
        <v>0</v>
      </c>
      <c r="AH114" s="25">
        <f>IF(AQ114="0",BJ114,0)</f>
        <v>0</v>
      </c>
      <c r="AI114" s="17" t="s">
        <v>198</v>
      </c>
      <c r="AJ114" s="25">
        <f>IF(AN114=0,J114,0)</f>
        <v>0</v>
      </c>
      <c r="AK114" s="25">
        <f>IF(AN114=15,J114,0)</f>
        <v>0</v>
      </c>
      <c r="AL114" s="25">
        <f>IF(AN114=21,J114,0)</f>
        <v>0</v>
      </c>
      <c r="AN114" s="25">
        <v>21</v>
      </c>
      <c r="AO114" s="25">
        <f>G114*0</f>
        <v>0</v>
      </c>
      <c r="AP114" s="25">
        <f>G114*(1-0)</f>
        <v>0</v>
      </c>
      <c r="AQ114" s="26" t="s">
        <v>49</v>
      </c>
      <c r="AV114" s="25">
        <f>AW114+AX114</f>
        <v>0</v>
      </c>
      <c r="AW114" s="25">
        <f>F114*AO114</f>
        <v>0</v>
      </c>
      <c r="AX114" s="25">
        <f>F114*AP114</f>
        <v>0</v>
      </c>
      <c r="AY114" s="26" t="s">
        <v>307</v>
      </c>
      <c r="AZ114" s="26" t="s">
        <v>308</v>
      </c>
      <c r="BA114" s="17" t="s">
        <v>204</v>
      </c>
      <c r="BC114" s="25">
        <f>AW114+AX114</f>
        <v>0</v>
      </c>
      <c r="BD114" s="25">
        <f>G114/(100-BE114)*100</f>
        <v>0</v>
      </c>
      <c r="BE114" s="25">
        <v>0</v>
      </c>
      <c r="BF114" s="25">
        <f>L114</f>
        <v>0.84</v>
      </c>
      <c r="BH114" s="25">
        <f>F114*AO114</f>
        <v>0</v>
      </c>
      <c r="BI114" s="25">
        <f>F114*AP114</f>
        <v>0</v>
      </c>
      <c r="BJ114" s="25">
        <f>F114*G114</f>
        <v>0</v>
      </c>
    </row>
    <row r="115" spans="1:62" ht="12.75">
      <c r="A115" s="2" t="s">
        <v>309</v>
      </c>
      <c r="B115" s="2" t="s">
        <v>198</v>
      </c>
      <c r="C115" s="2" t="s">
        <v>310</v>
      </c>
      <c r="D115" s="2" t="s">
        <v>311</v>
      </c>
      <c r="E115" s="2" t="s">
        <v>176</v>
      </c>
      <c r="F115" s="25">
        <v>28</v>
      </c>
      <c r="G115" s="25">
        <v>0</v>
      </c>
      <c r="H115" s="25">
        <f>F115*AO115</f>
        <v>0</v>
      </c>
      <c r="I115" s="25">
        <f>F115*AP115</f>
        <v>0</v>
      </c>
      <c r="J115" s="25">
        <f>F115*G115</f>
        <v>0</v>
      </c>
      <c r="K115" s="25">
        <v>0.08</v>
      </c>
      <c r="L115" s="25">
        <f>F115*K115</f>
        <v>2.24</v>
      </c>
      <c r="M115" s="26" t="s">
        <v>53</v>
      </c>
      <c r="Z115" s="25">
        <f>IF(AQ115="5",BJ115,0)</f>
        <v>0</v>
      </c>
      <c r="AB115" s="25">
        <f>IF(AQ115="1",BH115,0)</f>
        <v>0</v>
      </c>
      <c r="AC115" s="25">
        <f>IF(AQ115="1",BI115,0)</f>
        <v>0</v>
      </c>
      <c r="AD115" s="25">
        <f>IF(AQ115="7",BH115,0)</f>
        <v>0</v>
      </c>
      <c r="AE115" s="25">
        <f>IF(AQ115="7",BI115,0)</f>
        <v>0</v>
      </c>
      <c r="AF115" s="25">
        <f>IF(AQ115="2",BH115,0)</f>
        <v>0</v>
      </c>
      <c r="AG115" s="25">
        <f>IF(AQ115="2",BI115,0)</f>
        <v>0</v>
      </c>
      <c r="AH115" s="25">
        <f>IF(AQ115="0",BJ115,0)</f>
        <v>0</v>
      </c>
      <c r="AI115" s="17" t="s">
        <v>198</v>
      </c>
      <c r="AJ115" s="25">
        <f>IF(AN115=0,J115,0)</f>
        <v>0</v>
      </c>
      <c r="AK115" s="25">
        <f>IF(AN115=15,J115,0)</f>
        <v>0</v>
      </c>
      <c r="AL115" s="25">
        <f>IF(AN115=21,J115,0)</f>
        <v>0</v>
      </c>
      <c r="AN115" s="25">
        <v>21</v>
      </c>
      <c r="AO115" s="25">
        <f>G115*0.0000896819526627219</f>
        <v>0</v>
      </c>
      <c r="AP115" s="25">
        <f>G115*(1-0.0000896819526627219)</f>
        <v>0</v>
      </c>
      <c r="AQ115" s="26" t="s">
        <v>49</v>
      </c>
      <c r="AV115" s="25">
        <f>AW115+AX115</f>
        <v>0</v>
      </c>
      <c r="AW115" s="25">
        <f>F115*AO115</f>
        <v>0</v>
      </c>
      <c r="AX115" s="25">
        <f>F115*AP115</f>
        <v>0</v>
      </c>
      <c r="AY115" s="26" t="s">
        <v>307</v>
      </c>
      <c r="AZ115" s="26" t="s">
        <v>308</v>
      </c>
      <c r="BA115" s="17" t="s">
        <v>204</v>
      </c>
      <c r="BC115" s="25">
        <f>AW115+AX115</f>
        <v>0</v>
      </c>
      <c r="BD115" s="25">
        <f>G115/(100-BE115)*100</f>
        <v>0</v>
      </c>
      <c r="BE115" s="25">
        <v>0</v>
      </c>
      <c r="BF115" s="25">
        <f>L115</f>
        <v>2.24</v>
      </c>
      <c r="BH115" s="25">
        <f>F115*AO115</f>
        <v>0</v>
      </c>
      <c r="BI115" s="25">
        <f>F115*AP115</f>
        <v>0</v>
      </c>
      <c r="BJ115" s="25">
        <f>F115*G115</f>
        <v>0</v>
      </c>
    </row>
    <row r="116" spans="3:13" ht="12.75" customHeight="1">
      <c r="C116" s="27" t="s">
        <v>72</v>
      </c>
      <c r="D116" s="103" t="s">
        <v>312</v>
      </c>
      <c r="E116" s="103"/>
      <c r="F116" s="103"/>
      <c r="G116" s="103"/>
      <c r="H116" s="103"/>
      <c r="I116" s="103"/>
      <c r="J116" s="103"/>
      <c r="K116" s="103"/>
      <c r="L116" s="103"/>
      <c r="M116" s="103"/>
    </row>
    <row r="117" spans="1:47" ht="12.75">
      <c r="A117" s="22"/>
      <c r="B117" s="23" t="s">
        <v>198</v>
      </c>
      <c r="C117" s="23" t="s">
        <v>313</v>
      </c>
      <c r="D117" s="23" t="s">
        <v>314</v>
      </c>
      <c r="E117" s="22" t="s">
        <v>3</v>
      </c>
      <c r="F117" s="22" t="s">
        <v>3</v>
      </c>
      <c r="G117" s="22" t="s">
        <v>3</v>
      </c>
      <c r="H117" s="24">
        <f>SUM(H118:H118)</f>
        <v>0</v>
      </c>
      <c r="I117" s="24">
        <f>SUM(I118:I118)</f>
        <v>0</v>
      </c>
      <c r="J117" s="24">
        <f>SUM(J118:J118)</f>
        <v>0</v>
      </c>
      <c r="K117" s="17"/>
      <c r="L117" s="24">
        <f>SUM(L118:L118)</f>
        <v>0</v>
      </c>
      <c r="M117" s="17"/>
      <c r="AI117" s="17" t="s">
        <v>198</v>
      </c>
      <c r="AS117" s="24">
        <f>SUM(AJ118:AJ118)</f>
        <v>0</v>
      </c>
      <c r="AT117" s="24">
        <f>SUM(AK118:AK118)</f>
        <v>0</v>
      </c>
      <c r="AU117" s="24">
        <f>SUM(AL118:AL118)</f>
        <v>0</v>
      </c>
    </row>
    <row r="118" spans="1:62" ht="12.75">
      <c r="A118" s="28" t="s">
        <v>315</v>
      </c>
      <c r="B118" s="28" t="s">
        <v>198</v>
      </c>
      <c r="C118" s="28" t="s">
        <v>316</v>
      </c>
      <c r="D118" s="28" t="s">
        <v>317</v>
      </c>
      <c r="E118" s="28" t="s">
        <v>145</v>
      </c>
      <c r="F118" s="29">
        <v>1543.7</v>
      </c>
      <c r="G118" s="29">
        <v>0</v>
      </c>
      <c r="H118" s="29">
        <f>F118*AO118</f>
        <v>0</v>
      </c>
      <c r="I118" s="29">
        <f>F118*AP118</f>
        <v>0</v>
      </c>
      <c r="J118" s="29">
        <f>F118*G118</f>
        <v>0</v>
      </c>
      <c r="K118" s="29">
        <v>0</v>
      </c>
      <c r="L118" s="29">
        <f>F118*K118</f>
        <v>0</v>
      </c>
      <c r="M118" s="30" t="s">
        <v>53</v>
      </c>
      <c r="Z118" s="25">
        <f>IF(AQ118="5",BJ118,0)</f>
        <v>0</v>
      </c>
      <c r="AB118" s="25">
        <f>IF(AQ118="1",BH118,0)</f>
        <v>0</v>
      </c>
      <c r="AC118" s="25">
        <f>IF(AQ118="1",BI118,0)</f>
        <v>0</v>
      </c>
      <c r="AD118" s="25">
        <f>IF(AQ118="7",BH118,0)</f>
        <v>0</v>
      </c>
      <c r="AE118" s="25">
        <f>IF(AQ118="7",BI118,0)</f>
        <v>0</v>
      </c>
      <c r="AF118" s="25">
        <f>IF(AQ118="2",BH118,0)</f>
        <v>0</v>
      </c>
      <c r="AG118" s="25">
        <f>IF(AQ118="2",BI118,0)</f>
        <v>0</v>
      </c>
      <c r="AH118" s="25">
        <f>IF(AQ118="0",BJ118,0)</f>
        <v>0</v>
      </c>
      <c r="AI118" s="17" t="s">
        <v>198</v>
      </c>
      <c r="AJ118" s="25">
        <f>IF(AN118=0,J118,0)</f>
        <v>0</v>
      </c>
      <c r="AK118" s="25">
        <f>IF(AN118=15,J118,0)</f>
        <v>0</v>
      </c>
      <c r="AL118" s="25">
        <f>IF(AN118=21,J118,0)</f>
        <v>0</v>
      </c>
      <c r="AN118" s="25">
        <v>21</v>
      </c>
      <c r="AO118" s="25">
        <f>G118*0</f>
        <v>0</v>
      </c>
      <c r="AP118" s="25">
        <f>G118*(1-0)</f>
        <v>0</v>
      </c>
      <c r="AQ118" s="26" t="s">
        <v>74</v>
      </c>
      <c r="AV118" s="25">
        <f>AW118+AX118</f>
        <v>0</v>
      </c>
      <c r="AW118" s="25">
        <f>F118*AO118</f>
        <v>0</v>
      </c>
      <c r="AX118" s="25">
        <f>F118*AP118</f>
        <v>0</v>
      </c>
      <c r="AY118" s="26" t="s">
        <v>318</v>
      </c>
      <c r="AZ118" s="26" t="s">
        <v>308</v>
      </c>
      <c r="BA118" s="17" t="s">
        <v>204</v>
      </c>
      <c r="BC118" s="25">
        <f>AW118+AX118</f>
        <v>0</v>
      </c>
      <c r="BD118" s="25">
        <f>G118/(100-BE118)*100</f>
        <v>0</v>
      </c>
      <c r="BE118" s="25">
        <v>0</v>
      </c>
      <c r="BF118" s="25">
        <f>L118</f>
        <v>0</v>
      </c>
      <c r="BH118" s="25">
        <f>F118*AO118</f>
        <v>0</v>
      </c>
      <c r="BI118" s="25">
        <f>F118*AP118</f>
        <v>0</v>
      </c>
      <c r="BJ118" s="25">
        <f>F118*G118</f>
        <v>0</v>
      </c>
    </row>
    <row r="119" spans="1:13" ht="12.75">
      <c r="A119" s="31"/>
      <c r="B119" s="31"/>
      <c r="C119" s="31"/>
      <c r="D119" s="31"/>
      <c r="E119" s="31"/>
      <c r="F119" s="31"/>
      <c r="G119" s="31"/>
      <c r="H119" s="104" t="s">
        <v>319</v>
      </c>
      <c r="I119" s="104"/>
      <c r="J119" s="32">
        <f>J13+J15+J18+J22+J24+J26+J30+J41+J53+J57+J60+J63+J65+J70+J72+J76+J78+J80+J91+J97+J102+J106+J109+J113+J117</f>
        <v>0</v>
      </c>
      <c r="K119" s="31"/>
      <c r="L119" s="31"/>
      <c r="M119" s="31"/>
    </row>
    <row r="120" ht="11.25" customHeight="1">
      <c r="A120" s="33" t="s">
        <v>320</v>
      </c>
    </row>
    <row r="121" spans="1:13" ht="12.7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</row>
  </sheetData>
  <sheetProtection selectLockedCells="1" selectUnlockedCells="1"/>
  <mergeCells count="47">
    <mergeCell ref="D111:M111"/>
    <mergeCell ref="D116:M116"/>
    <mergeCell ref="H119:I119"/>
    <mergeCell ref="A121:M121"/>
    <mergeCell ref="D55:M55"/>
    <mergeCell ref="D62:M62"/>
    <mergeCell ref="D83:M83"/>
    <mergeCell ref="D87:M87"/>
    <mergeCell ref="D93:M93"/>
    <mergeCell ref="D99:M99"/>
    <mergeCell ref="D38:M38"/>
    <mergeCell ref="D43:M43"/>
    <mergeCell ref="D45:M45"/>
    <mergeCell ref="D47:M47"/>
    <mergeCell ref="D49:M49"/>
    <mergeCell ref="D51:M51"/>
    <mergeCell ref="H10:J10"/>
    <mergeCell ref="K10:L10"/>
    <mergeCell ref="D20:M20"/>
    <mergeCell ref="D32:M32"/>
    <mergeCell ref="D34:M34"/>
    <mergeCell ref="D36:M36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375" right="0.39375" top="0.5909722222222222" bottom="0.5909722222222222" header="0.5118055555555555" footer="0.5118055555555555"/>
  <pageSetup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tabSelected="1" zoomScalePageLayoutView="0" workbookViewId="0" topLeftCell="A1">
      <pane ySplit="10" topLeftCell="A134" activePane="bottomLeft" state="frozen"/>
      <selection pane="topLeft" activeCell="A1" sqref="A1"/>
      <selection pane="bottomLeft" activeCell="D51" sqref="D51:E5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73.421875" style="0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93" t="s">
        <v>329</v>
      </c>
      <c r="B1" s="93"/>
      <c r="C1" s="93"/>
      <c r="D1" s="93"/>
      <c r="E1" s="93"/>
      <c r="F1" s="93"/>
      <c r="G1" s="93"/>
      <c r="H1" s="93"/>
    </row>
    <row r="2" spans="1:9" ht="12.75" customHeight="1">
      <c r="A2" s="73" t="s">
        <v>1</v>
      </c>
      <c r="B2" s="73"/>
      <c r="C2" s="74" t="str">
        <f>'Stavební rozpočet'!D2</f>
        <v>Zařízení na úpravu odpadů f.BERGASTO s.r.o. </v>
      </c>
      <c r="D2" s="74"/>
      <c r="E2" s="75" t="s">
        <v>4</v>
      </c>
      <c r="F2" s="94" t="str">
        <f>'Stavební rozpočet'!I2</f>
        <v> </v>
      </c>
      <c r="G2" s="94"/>
      <c r="H2" s="94"/>
      <c r="I2" s="1"/>
    </row>
    <row r="3" spans="1:9" ht="12.75">
      <c r="A3" s="73"/>
      <c r="B3" s="73"/>
      <c r="C3" s="74"/>
      <c r="D3" s="74"/>
      <c r="E3" s="75"/>
      <c r="F3" s="75"/>
      <c r="G3" s="94"/>
      <c r="H3" s="94"/>
      <c r="I3" s="1"/>
    </row>
    <row r="4" spans="1:9" ht="12.75" customHeight="1">
      <c r="A4" s="77" t="s">
        <v>6</v>
      </c>
      <c r="B4" s="77"/>
      <c r="C4" s="78" t="str">
        <f>'Stavební rozpočet'!D4</f>
        <v> </v>
      </c>
      <c r="D4" s="78"/>
      <c r="E4" s="78" t="s">
        <v>8</v>
      </c>
      <c r="F4" s="95" t="str">
        <f>'Stavební rozpočet'!I4</f>
        <v> </v>
      </c>
      <c r="G4" s="95"/>
      <c r="H4" s="95"/>
      <c r="I4" s="1"/>
    </row>
    <row r="5" spans="1:9" ht="12.75">
      <c r="A5" s="77"/>
      <c r="B5" s="77"/>
      <c r="C5" s="78"/>
      <c r="D5" s="78"/>
      <c r="E5" s="78"/>
      <c r="F5" s="78"/>
      <c r="G5" s="95"/>
      <c r="H5" s="95"/>
      <c r="I5" s="1"/>
    </row>
    <row r="6" spans="1:9" ht="12.75" customHeight="1">
      <c r="A6" s="77" t="s">
        <v>9</v>
      </c>
      <c r="B6" s="77"/>
      <c r="C6" s="78" t="str">
        <f>'Stavební rozpočet'!D6</f>
        <v>Suchonice</v>
      </c>
      <c r="D6" s="78"/>
      <c r="E6" s="78" t="s">
        <v>12</v>
      </c>
      <c r="F6" s="95" t="str">
        <f>'Stavební rozpočet'!I6</f>
        <v> </v>
      </c>
      <c r="G6" s="95"/>
      <c r="H6" s="95"/>
      <c r="I6" s="1"/>
    </row>
    <row r="7" spans="1:9" ht="12.75">
      <c r="A7" s="77"/>
      <c r="B7" s="77"/>
      <c r="C7" s="78"/>
      <c r="D7" s="78"/>
      <c r="E7" s="78"/>
      <c r="F7" s="78"/>
      <c r="G7" s="95"/>
      <c r="H7" s="95"/>
      <c r="I7" s="1"/>
    </row>
    <row r="8" spans="1:9" ht="12.75" customHeight="1">
      <c r="A8" s="96" t="s">
        <v>15</v>
      </c>
      <c r="B8" s="96"/>
      <c r="C8" s="97" t="str">
        <f>'Stavební rozpočet'!I8</f>
        <v> </v>
      </c>
      <c r="D8" s="97"/>
      <c r="E8" s="97" t="s">
        <v>14</v>
      </c>
      <c r="F8" s="99" t="str">
        <f>'Stavební rozpočet'!G8</f>
        <v>14.8.2020</v>
      </c>
      <c r="G8" s="99"/>
      <c r="H8" s="99"/>
      <c r="I8" s="1"/>
    </row>
    <row r="9" spans="1:9" ht="12.75">
      <c r="A9" s="96"/>
      <c r="B9" s="96"/>
      <c r="C9" s="97"/>
      <c r="D9" s="97"/>
      <c r="E9" s="97"/>
      <c r="F9" s="97"/>
      <c r="G9" s="99"/>
      <c r="H9" s="99"/>
      <c r="I9" s="1"/>
    </row>
    <row r="10" spans="1:9" ht="12.75">
      <c r="A10" s="35" t="s">
        <v>16</v>
      </c>
      <c r="B10" s="36" t="s">
        <v>17</v>
      </c>
      <c r="C10" s="36" t="s">
        <v>18</v>
      </c>
      <c r="D10" s="105" t="s">
        <v>19</v>
      </c>
      <c r="E10" s="105"/>
      <c r="F10" s="36" t="s">
        <v>20</v>
      </c>
      <c r="G10" s="43" t="s">
        <v>21</v>
      </c>
      <c r="H10" s="34" t="s">
        <v>330</v>
      </c>
      <c r="I10" s="8"/>
    </row>
    <row r="11" spans="1:8" ht="12.75">
      <c r="A11" s="19"/>
      <c r="B11" s="19"/>
      <c r="C11" s="19" t="s">
        <v>47</v>
      </c>
      <c r="D11" s="106" t="s">
        <v>48</v>
      </c>
      <c r="E11" s="106"/>
      <c r="F11" s="19"/>
      <c r="G11" s="21"/>
      <c r="H11" s="21"/>
    </row>
    <row r="12" spans="1:8" ht="12.75">
      <c r="A12" s="2" t="s">
        <v>49</v>
      </c>
      <c r="B12" s="2" t="s">
        <v>198</v>
      </c>
      <c r="C12" s="2" t="s">
        <v>201</v>
      </c>
      <c r="D12" s="80" t="s">
        <v>202</v>
      </c>
      <c r="E12" s="80"/>
      <c r="F12" s="2" t="s">
        <v>52</v>
      </c>
      <c r="G12" s="25">
        <v>528.612</v>
      </c>
      <c r="H12" s="25">
        <v>0</v>
      </c>
    </row>
    <row r="13" spans="4:7" ht="12" customHeight="1">
      <c r="D13" s="107" t="s">
        <v>331</v>
      </c>
      <c r="E13" s="107"/>
      <c r="F13" s="107"/>
      <c r="G13" s="44">
        <v>528.612</v>
      </c>
    </row>
    <row r="14" spans="1:8" ht="12.75">
      <c r="A14" s="2" t="s">
        <v>59</v>
      </c>
      <c r="B14" s="2" t="s">
        <v>45</v>
      </c>
      <c r="C14" s="2" t="s">
        <v>50</v>
      </c>
      <c r="D14" s="80" t="s">
        <v>51</v>
      </c>
      <c r="E14" s="80"/>
      <c r="F14" s="2" t="s">
        <v>52</v>
      </c>
      <c r="G14" s="25">
        <v>4311.1375</v>
      </c>
      <c r="H14" s="25">
        <v>0</v>
      </c>
    </row>
    <row r="15" spans="4:7" ht="12" customHeight="1">
      <c r="D15" s="107" t="s">
        <v>332</v>
      </c>
      <c r="E15" s="107"/>
      <c r="F15" s="107"/>
      <c r="G15" s="44">
        <v>4311.1375</v>
      </c>
    </row>
    <row r="16" spans="1:8" ht="12.75">
      <c r="A16" s="23"/>
      <c r="B16" s="23"/>
      <c r="C16" s="23" t="s">
        <v>57</v>
      </c>
      <c r="D16" s="108" t="s">
        <v>58</v>
      </c>
      <c r="E16" s="108"/>
      <c r="F16" s="23"/>
      <c r="G16" s="17"/>
      <c r="H16" s="17"/>
    </row>
    <row r="17" spans="1:8" ht="12.75">
      <c r="A17" s="2" t="s">
        <v>63</v>
      </c>
      <c r="B17" s="2" t="s">
        <v>198</v>
      </c>
      <c r="C17" s="2" t="s">
        <v>206</v>
      </c>
      <c r="D17" s="80" t="s">
        <v>207</v>
      </c>
      <c r="E17" s="80"/>
      <c r="F17" s="2" t="s">
        <v>176</v>
      </c>
      <c r="G17" s="25">
        <v>17</v>
      </c>
      <c r="H17" s="25">
        <v>0</v>
      </c>
    </row>
    <row r="18" spans="4:7" ht="12" customHeight="1">
      <c r="D18" s="107" t="s">
        <v>333</v>
      </c>
      <c r="E18" s="107"/>
      <c r="F18" s="107"/>
      <c r="G18" s="44">
        <v>17</v>
      </c>
    </row>
    <row r="19" spans="1:8" ht="12.75">
      <c r="A19" s="2" t="s">
        <v>68</v>
      </c>
      <c r="B19" s="2" t="s">
        <v>198</v>
      </c>
      <c r="C19" s="2" t="s">
        <v>209</v>
      </c>
      <c r="D19" s="80" t="s">
        <v>210</v>
      </c>
      <c r="E19" s="80"/>
      <c r="F19" s="2" t="s">
        <v>52</v>
      </c>
      <c r="G19" s="25">
        <v>134.4</v>
      </c>
      <c r="H19" s="25">
        <v>0</v>
      </c>
    </row>
    <row r="20" spans="4:7" ht="12" customHeight="1">
      <c r="D20" s="107" t="s">
        <v>334</v>
      </c>
      <c r="E20" s="107"/>
      <c r="F20" s="107"/>
      <c r="G20" s="44">
        <v>134.4</v>
      </c>
    </row>
    <row r="21" spans="1:8" ht="12.75">
      <c r="A21" s="2" t="s">
        <v>74</v>
      </c>
      <c r="B21" s="2" t="s">
        <v>45</v>
      </c>
      <c r="C21" s="2" t="s">
        <v>60</v>
      </c>
      <c r="D21" s="80" t="s">
        <v>61</v>
      </c>
      <c r="E21" s="80"/>
      <c r="F21" s="2" t="s">
        <v>52</v>
      </c>
      <c r="G21" s="25">
        <v>60</v>
      </c>
      <c r="H21" s="25">
        <v>0</v>
      </c>
    </row>
    <row r="22" spans="4:7" ht="12" customHeight="1">
      <c r="D22" s="107" t="s">
        <v>335</v>
      </c>
      <c r="E22" s="107"/>
      <c r="F22" s="107"/>
      <c r="G22" s="44">
        <v>60</v>
      </c>
    </row>
    <row r="23" spans="1:8" ht="12.75">
      <c r="A23" s="2" t="s">
        <v>80</v>
      </c>
      <c r="B23" s="2" t="s">
        <v>45</v>
      </c>
      <c r="C23" s="2" t="s">
        <v>64</v>
      </c>
      <c r="D23" s="80" t="s">
        <v>65</v>
      </c>
      <c r="E23" s="80"/>
      <c r="F23" s="2" t="s">
        <v>52</v>
      </c>
      <c r="G23" s="25">
        <v>1000</v>
      </c>
      <c r="H23" s="25">
        <v>0</v>
      </c>
    </row>
    <row r="24" spans="1:8" ht="12.75">
      <c r="A24" s="2" t="s">
        <v>86</v>
      </c>
      <c r="B24" s="2" t="s">
        <v>198</v>
      </c>
      <c r="C24" s="2" t="s">
        <v>212</v>
      </c>
      <c r="D24" s="80" t="s">
        <v>213</v>
      </c>
      <c r="E24" s="80"/>
      <c r="F24" s="2" t="s">
        <v>52</v>
      </c>
      <c r="G24" s="25">
        <v>286.5</v>
      </c>
      <c r="H24" s="25">
        <v>0</v>
      </c>
    </row>
    <row r="25" spans="4:7" ht="12" customHeight="1">
      <c r="D25" s="107" t="s">
        <v>437</v>
      </c>
      <c r="E25" s="107"/>
      <c r="F25" s="107"/>
      <c r="G25" s="44">
        <v>286.5</v>
      </c>
    </row>
    <row r="26" spans="1:8" ht="12.75">
      <c r="A26" s="23"/>
      <c r="B26" s="23"/>
      <c r="C26" s="23" t="s">
        <v>66</v>
      </c>
      <c r="D26" s="108" t="s">
        <v>67</v>
      </c>
      <c r="E26" s="108"/>
      <c r="F26" s="23"/>
      <c r="G26" s="17"/>
      <c r="H26" s="17"/>
    </row>
    <row r="27" spans="1:8" ht="12.75">
      <c r="A27" s="2" t="s">
        <v>93</v>
      </c>
      <c r="B27" s="2" t="s">
        <v>45</v>
      </c>
      <c r="C27" s="2" t="s">
        <v>69</v>
      </c>
      <c r="D27" s="80" t="s">
        <v>70</v>
      </c>
      <c r="E27" s="80"/>
      <c r="F27" s="2" t="s">
        <v>52</v>
      </c>
      <c r="G27" s="25">
        <v>20</v>
      </c>
      <c r="H27" s="25">
        <v>0</v>
      </c>
    </row>
    <row r="28" spans="1:8" ht="12.75">
      <c r="A28" s="2" t="s">
        <v>98</v>
      </c>
      <c r="B28" s="2" t="s">
        <v>45</v>
      </c>
      <c r="C28" s="2" t="s">
        <v>75</v>
      </c>
      <c r="D28" s="80" t="s">
        <v>76</v>
      </c>
      <c r="E28" s="80"/>
      <c r="F28" s="2" t="s">
        <v>77</v>
      </c>
      <c r="G28" s="25">
        <v>19</v>
      </c>
      <c r="H28" s="25">
        <v>0</v>
      </c>
    </row>
    <row r="29" spans="4:7" ht="12" customHeight="1">
      <c r="D29" s="107" t="s">
        <v>336</v>
      </c>
      <c r="E29" s="107"/>
      <c r="F29" s="107"/>
      <c r="G29" s="44">
        <v>19</v>
      </c>
    </row>
    <row r="30" spans="1:8" ht="12.75">
      <c r="A30" s="23"/>
      <c r="B30" s="23"/>
      <c r="C30" s="23" t="s">
        <v>78</v>
      </c>
      <c r="D30" s="108" t="s">
        <v>79</v>
      </c>
      <c r="E30" s="108"/>
      <c r="F30" s="23"/>
      <c r="G30" s="17"/>
      <c r="H30" s="17"/>
    </row>
    <row r="31" spans="1:8" ht="12.75">
      <c r="A31" s="2" t="s">
        <v>101</v>
      </c>
      <c r="B31" s="2" t="s">
        <v>45</v>
      </c>
      <c r="C31" s="2" t="s">
        <v>81</v>
      </c>
      <c r="D31" s="80" t="s">
        <v>82</v>
      </c>
      <c r="E31" s="80"/>
      <c r="F31" s="2" t="s">
        <v>52</v>
      </c>
      <c r="G31" s="25">
        <v>5899.75</v>
      </c>
      <c r="H31" s="25">
        <v>0</v>
      </c>
    </row>
    <row r="32" spans="4:7" ht="12" customHeight="1">
      <c r="D32" s="107" t="s">
        <v>337</v>
      </c>
      <c r="E32" s="107"/>
      <c r="F32" s="107"/>
      <c r="G32" s="44">
        <v>5899.75</v>
      </c>
    </row>
    <row r="33" spans="1:8" ht="12.75">
      <c r="A33" s="2" t="s">
        <v>106</v>
      </c>
      <c r="B33" s="2" t="s">
        <v>198</v>
      </c>
      <c r="C33" s="2" t="s">
        <v>81</v>
      </c>
      <c r="D33" s="80" t="s">
        <v>82</v>
      </c>
      <c r="E33" s="80"/>
      <c r="F33" s="2" t="s">
        <v>52</v>
      </c>
      <c r="G33" s="25">
        <v>286.3</v>
      </c>
      <c r="H33" s="25">
        <v>0</v>
      </c>
    </row>
    <row r="34" spans="4:7" ht="12" customHeight="1">
      <c r="D34" s="107" t="s">
        <v>338</v>
      </c>
      <c r="E34" s="107"/>
      <c r="F34" s="107"/>
      <c r="G34" s="44">
        <v>286.3</v>
      </c>
    </row>
    <row r="35" spans="1:8" ht="12.75">
      <c r="A35" s="23"/>
      <c r="B35" s="23"/>
      <c r="C35" s="23" t="s">
        <v>128</v>
      </c>
      <c r="D35" s="108" t="s">
        <v>215</v>
      </c>
      <c r="E35" s="108"/>
      <c r="F35" s="23"/>
      <c r="G35" s="17"/>
      <c r="H35" s="17"/>
    </row>
    <row r="36" spans="1:8" ht="12.75" customHeight="1">
      <c r="A36" s="2" t="s">
        <v>47</v>
      </c>
      <c r="B36" s="2" t="s">
        <v>198</v>
      </c>
      <c r="C36" s="2" t="s">
        <v>217</v>
      </c>
      <c r="D36" s="80" t="s">
        <v>218</v>
      </c>
      <c r="E36" s="80"/>
      <c r="F36" s="2" t="s">
        <v>52</v>
      </c>
      <c r="G36" s="25">
        <v>153.755</v>
      </c>
      <c r="H36" s="25">
        <v>0</v>
      </c>
    </row>
    <row r="37" spans="4:7" ht="12" customHeight="1">
      <c r="D37" s="107" t="s">
        <v>339</v>
      </c>
      <c r="E37" s="107"/>
      <c r="F37" s="107"/>
      <c r="G37" s="44">
        <v>153.755</v>
      </c>
    </row>
    <row r="38" spans="1:8" ht="12.75" customHeight="1">
      <c r="A38" s="23"/>
      <c r="B38" s="23"/>
      <c r="C38" s="23" t="s">
        <v>84</v>
      </c>
      <c r="D38" s="108" t="s">
        <v>85</v>
      </c>
      <c r="E38" s="108"/>
      <c r="F38" s="23"/>
      <c r="G38" s="17"/>
      <c r="H38" s="17"/>
    </row>
    <row r="39" spans="1:8" ht="12.75">
      <c r="A39" s="2" t="s">
        <v>57</v>
      </c>
      <c r="B39" s="2" t="s">
        <v>45</v>
      </c>
      <c r="C39" s="2" t="s">
        <v>87</v>
      </c>
      <c r="D39" s="80" t="s">
        <v>88</v>
      </c>
      <c r="E39" s="80"/>
      <c r="F39" s="2" t="s">
        <v>89</v>
      </c>
      <c r="G39" s="25">
        <v>10840</v>
      </c>
      <c r="H39" s="25">
        <v>0</v>
      </c>
    </row>
    <row r="40" spans="4:7" ht="12" customHeight="1">
      <c r="D40" s="107" t="s">
        <v>340</v>
      </c>
      <c r="E40" s="107"/>
      <c r="F40" s="107"/>
      <c r="G40" s="44">
        <v>10840</v>
      </c>
    </row>
    <row r="41" spans="1:8" ht="12.75">
      <c r="A41" s="23"/>
      <c r="B41" s="23"/>
      <c r="C41" s="23" t="s">
        <v>91</v>
      </c>
      <c r="D41" s="108" t="s">
        <v>92</v>
      </c>
      <c r="E41" s="108"/>
      <c r="F41" s="23"/>
      <c r="G41" s="17"/>
      <c r="H41" s="17"/>
    </row>
    <row r="42" spans="1:8" ht="12.75">
      <c r="A42" s="2" t="s">
        <v>66</v>
      </c>
      <c r="B42" s="2" t="s">
        <v>45</v>
      </c>
      <c r="C42" s="2" t="s">
        <v>94</v>
      </c>
      <c r="D42" s="80" t="s">
        <v>95</v>
      </c>
      <c r="E42" s="80"/>
      <c r="F42" s="2" t="s">
        <v>52</v>
      </c>
      <c r="G42" s="25">
        <v>60</v>
      </c>
      <c r="H42" s="25">
        <v>0</v>
      </c>
    </row>
    <row r="43" spans="4:7" ht="12" customHeight="1">
      <c r="D43" s="107" t="s">
        <v>341</v>
      </c>
      <c r="E43" s="107"/>
      <c r="F43" s="107"/>
      <c r="G43" s="44">
        <v>60</v>
      </c>
    </row>
    <row r="44" spans="1:8" ht="12.75">
      <c r="A44" s="2" t="s">
        <v>119</v>
      </c>
      <c r="B44" s="2" t="s">
        <v>45</v>
      </c>
      <c r="C44" s="2" t="s">
        <v>99</v>
      </c>
      <c r="D44" s="80" t="s">
        <v>100</v>
      </c>
      <c r="E44" s="80"/>
      <c r="F44" s="2" t="s">
        <v>89</v>
      </c>
      <c r="G44" s="25">
        <v>780</v>
      </c>
      <c r="H44" s="25">
        <v>0</v>
      </c>
    </row>
    <row r="45" spans="1:8" ht="12.75" customHeight="1">
      <c r="A45" s="2" t="s">
        <v>78</v>
      </c>
      <c r="B45" s="2" t="s">
        <v>45</v>
      </c>
      <c r="C45" s="2" t="s">
        <v>102</v>
      </c>
      <c r="D45" s="80" t="s">
        <v>103</v>
      </c>
      <c r="E45" s="80"/>
      <c r="F45" s="2" t="s">
        <v>52</v>
      </c>
      <c r="G45" s="25">
        <v>1000</v>
      </c>
      <c r="H45" s="25">
        <v>0</v>
      </c>
    </row>
    <row r="46" spans="1:8" ht="12.75">
      <c r="A46" s="23"/>
      <c r="B46" s="23"/>
      <c r="C46" s="23" t="s">
        <v>173</v>
      </c>
      <c r="D46" s="108" t="s">
        <v>220</v>
      </c>
      <c r="E46" s="108"/>
      <c r="F46" s="23"/>
      <c r="G46" s="17"/>
      <c r="H46" s="17"/>
    </row>
    <row r="47" spans="1:8" ht="12.75" customHeight="1">
      <c r="A47" s="2" t="s">
        <v>128</v>
      </c>
      <c r="B47" s="2" t="s">
        <v>198</v>
      </c>
      <c r="C47" s="2" t="s">
        <v>222</v>
      </c>
      <c r="D47" s="80" t="s">
        <v>223</v>
      </c>
      <c r="E47" s="80"/>
      <c r="F47" s="2" t="s">
        <v>52</v>
      </c>
      <c r="G47" s="25">
        <v>134.4</v>
      </c>
      <c r="H47" s="25">
        <v>0</v>
      </c>
    </row>
    <row r="48" spans="4:7" ht="12" customHeight="1">
      <c r="D48" s="107" t="s">
        <v>342</v>
      </c>
      <c r="E48" s="107"/>
      <c r="F48" s="107"/>
      <c r="G48" s="44">
        <v>134.4</v>
      </c>
    </row>
    <row r="49" spans="1:8" ht="12.75" customHeight="1">
      <c r="A49" s="2" t="s">
        <v>84</v>
      </c>
      <c r="B49" s="2" t="s">
        <v>198</v>
      </c>
      <c r="C49" s="2" t="s">
        <v>227</v>
      </c>
      <c r="D49" s="80" t="s">
        <v>228</v>
      </c>
      <c r="E49" s="80"/>
      <c r="F49" s="2" t="s">
        <v>89</v>
      </c>
      <c r="G49" s="25">
        <v>67.2</v>
      </c>
      <c r="H49" s="25">
        <v>0</v>
      </c>
    </row>
    <row r="50" spans="4:7" ht="12" customHeight="1">
      <c r="D50" s="107" t="s">
        <v>343</v>
      </c>
      <c r="E50" s="107"/>
      <c r="F50" s="107"/>
      <c r="G50" s="44">
        <v>67.2</v>
      </c>
    </row>
    <row r="51" spans="1:8" ht="12.75" customHeight="1">
      <c r="A51" s="2" t="s">
        <v>136</v>
      </c>
      <c r="B51" s="2" t="s">
        <v>198</v>
      </c>
      <c r="C51" s="2" t="s">
        <v>231</v>
      </c>
      <c r="D51" s="80" t="s">
        <v>232</v>
      </c>
      <c r="E51" s="80"/>
      <c r="F51" s="2" t="s">
        <v>89</v>
      </c>
      <c r="G51" s="25">
        <v>67.2</v>
      </c>
      <c r="H51" s="25">
        <v>0</v>
      </c>
    </row>
    <row r="52" spans="1:8" ht="12.75">
      <c r="A52" s="2" t="s">
        <v>140</v>
      </c>
      <c r="B52" s="2" t="s">
        <v>198</v>
      </c>
      <c r="C52" s="2" t="s">
        <v>234</v>
      </c>
      <c r="D52" s="80" t="s">
        <v>235</v>
      </c>
      <c r="E52" s="80"/>
      <c r="F52" s="2" t="s">
        <v>52</v>
      </c>
      <c r="G52" s="25">
        <v>177.63</v>
      </c>
      <c r="H52" s="25">
        <v>0</v>
      </c>
    </row>
    <row r="53" spans="4:7" ht="12" customHeight="1">
      <c r="D53" s="107" t="s">
        <v>438</v>
      </c>
      <c r="E53" s="107"/>
      <c r="F53" s="107"/>
      <c r="G53" s="44">
        <v>177.63</v>
      </c>
    </row>
    <row r="54" spans="1:8" ht="12.75">
      <c r="A54" s="2" t="s">
        <v>91</v>
      </c>
      <c r="B54" s="2" t="s">
        <v>198</v>
      </c>
      <c r="C54" s="2" t="s">
        <v>237</v>
      </c>
      <c r="D54" s="80" t="s">
        <v>238</v>
      </c>
      <c r="E54" s="80"/>
      <c r="F54" s="2" t="s">
        <v>52</v>
      </c>
      <c r="G54" s="25">
        <v>110.78</v>
      </c>
      <c r="H54" s="25">
        <v>0</v>
      </c>
    </row>
    <row r="55" spans="4:7" ht="12" customHeight="1">
      <c r="D55" s="107" t="s">
        <v>344</v>
      </c>
      <c r="E55" s="107"/>
      <c r="F55" s="107"/>
      <c r="G55" s="44">
        <v>110.78</v>
      </c>
    </row>
    <row r="56" spans="1:8" ht="12.75">
      <c r="A56" s="2" t="s">
        <v>147</v>
      </c>
      <c r="B56" s="2" t="s">
        <v>198</v>
      </c>
      <c r="C56" s="2" t="s">
        <v>241</v>
      </c>
      <c r="D56" s="80" t="s">
        <v>242</v>
      </c>
      <c r="E56" s="80"/>
      <c r="F56" s="2" t="s">
        <v>89</v>
      </c>
      <c r="G56" s="25">
        <v>76.4</v>
      </c>
      <c r="H56" s="25">
        <v>0</v>
      </c>
    </row>
    <row r="57" spans="4:7" ht="12" customHeight="1">
      <c r="D57" s="107" t="s">
        <v>345</v>
      </c>
      <c r="E57" s="107"/>
      <c r="F57" s="107"/>
      <c r="G57" s="44">
        <v>76.4</v>
      </c>
    </row>
    <row r="58" spans="1:8" ht="12.75">
      <c r="A58" s="2" t="s">
        <v>152</v>
      </c>
      <c r="B58" s="2" t="s">
        <v>198</v>
      </c>
      <c r="C58" s="2" t="s">
        <v>244</v>
      </c>
      <c r="D58" s="80" t="s">
        <v>245</v>
      </c>
      <c r="E58" s="80"/>
      <c r="F58" s="2" t="s">
        <v>89</v>
      </c>
      <c r="G58" s="25">
        <v>76.4</v>
      </c>
      <c r="H58" s="25">
        <v>0</v>
      </c>
    </row>
    <row r="59" spans="4:7" ht="12" customHeight="1">
      <c r="D59" s="107" t="s">
        <v>345</v>
      </c>
      <c r="E59" s="107"/>
      <c r="F59" s="107"/>
      <c r="G59" s="44">
        <v>76.4</v>
      </c>
    </row>
    <row r="60" spans="1:8" ht="12.75">
      <c r="A60" s="2" t="s">
        <v>158</v>
      </c>
      <c r="B60" s="2" t="s">
        <v>198</v>
      </c>
      <c r="C60" s="2" t="s">
        <v>247</v>
      </c>
      <c r="D60" s="80" t="s">
        <v>248</v>
      </c>
      <c r="E60" s="80"/>
      <c r="F60" s="2" t="s">
        <v>145</v>
      </c>
      <c r="G60" s="25">
        <v>25.324</v>
      </c>
      <c r="H60" s="25">
        <v>0</v>
      </c>
    </row>
    <row r="61" spans="4:7" ht="12" customHeight="1">
      <c r="D61" s="107" t="s">
        <v>346</v>
      </c>
      <c r="E61" s="107"/>
      <c r="F61" s="107"/>
      <c r="G61" s="44">
        <v>25.324</v>
      </c>
    </row>
    <row r="62" spans="1:8" ht="12.75" customHeight="1">
      <c r="A62" s="23"/>
      <c r="B62" s="23"/>
      <c r="C62" s="23" t="s">
        <v>195</v>
      </c>
      <c r="D62" s="108" t="s">
        <v>249</v>
      </c>
      <c r="E62" s="108"/>
      <c r="F62" s="23"/>
      <c r="G62" s="17"/>
      <c r="H62" s="17"/>
    </row>
    <row r="63" spans="1:8" ht="12.75">
      <c r="A63" s="2" t="s">
        <v>163</v>
      </c>
      <c r="B63" s="2" t="s">
        <v>198</v>
      </c>
      <c r="C63" s="2" t="s">
        <v>251</v>
      </c>
      <c r="D63" s="80" t="s">
        <v>252</v>
      </c>
      <c r="E63" s="80"/>
      <c r="F63" s="2" t="s">
        <v>52</v>
      </c>
      <c r="G63" s="25">
        <v>91.68</v>
      </c>
      <c r="H63" s="25">
        <v>0</v>
      </c>
    </row>
    <row r="64" spans="4:7" ht="12" customHeight="1">
      <c r="D64" s="107" t="s">
        <v>347</v>
      </c>
      <c r="E64" s="107"/>
      <c r="F64" s="107"/>
      <c r="G64" s="44">
        <v>91.68</v>
      </c>
    </row>
    <row r="65" spans="1:8" ht="12.75">
      <c r="A65" s="2" t="s">
        <v>168</v>
      </c>
      <c r="B65" s="2" t="s">
        <v>198</v>
      </c>
      <c r="C65" s="2" t="s">
        <v>257</v>
      </c>
      <c r="D65" s="80" t="s">
        <v>258</v>
      </c>
      <c r="E65" s="80"/>
      <c r="F65" s="2" t="s">
        <v>89</v>
      </c>
      <c r="G65" s="25">
        <v>38.2</v>
      </c>
      <c r="H65" s="25">
        <v>0</v>
      </c>
    </row>
    <row r="66" spans="4:7" ht="12" customHeight="1">
      <c r="D66" s="107" t="s">
        <v>348</v>
      </c>
      <c r="E66" s="107"/>
      <c r="F66" s="107"/>
      <c r="G66" s="44">
        <v>38.2</v>
      </c>
    </row>
    <row r="67" spans="1:8" ht="12.75">
      <c r="A67" s="2" t="s">
        <v>173</v>
      </c>
      <c r="B67" s="2" t="s">
        <v>198</v>
      </c>
      <c r="C67" s="2" t="s">
        <v>260</v>
      </c>
      <c r="D67" s="80" t="s">
        <v>261</v>
      </c>
      <c r="E67" s="80"/>
      <c r="F67" s="2" t="s">
        <v>89</v>
      </c>
      <c r="G67" s="25">
        <v>460.32</v>
      </c>
      <c r="H67" s="25">
        <v>0</v>
      </c>
    </row>
    <row r="68" spans="4:7" ht="12" customHeight="1">
      <c r="D68" s="107" t="s">
        <v>349</v>
      </c>
      <c r="E68" s="107"/>
      <c r="F68" s="107"/>
      <c r="G68" s="44">
        <v>460.32</v>
      </c>
    </row>
    <row r="69" spans="1:8" ht="12.75">
      <c r="A69" s="2" t="s">
        <v>181</v>
      </c>
      <c r="B69" s="2" t="s">
        <v>198</v>
      </c>
      <c r="C69" s="2" t="s">
        <v>263</v>
      </c>
      <c r="D69" s="80" t="s">
        <v>264</v>
      </c>
      <c r="E69" s="80"/>
      <c r="F69" s="2" t="s">
        <v>89</v>
      </c>
      <c r="G69" s="25">
        <v>460.32</v>
      </c>
      <c r="H69" s="25">
        <v>0</v>
      </c>
    </row>
    <row r="70" spans="1:8" ht="12.75">
      <c r="A70" s="23"/>
      <c r="B70" s="23"/>
      <c r="C70" s="23" t="s">
        <v>205</v>
      </c>
      <c r="D70" s="108" t="s">
        <v>265</v>
      </c>
      <c r="E70" s="108"/>
      <c r="F70" s="23"/>
      <c r="G70" s="17"/>
      <c r="H70" s="17"/>
    </row>
    <row r="71" spans="1:8" ht="12.75">
      <c r="A71" s="2" t="s">
        <v>188</v>
      </c>
      <c r="B71" s="2" t="s">
        <v>198</v>
      </c>
      <c r="C71" s="2" t="s">
        <v>267</v>
      </c>
      <c r="D71" s="80" t="s">
        <v>268</v>
      </c>
      <c r="E71" s="80"/>
      <c r="F71" s="2" t="s">
        <v>176</v>
      </c>
      <c r="G71" s="25">
        <v>17</v>
      </c>
      <c r="H71" s="25">
        <v>0</v>
      </c>
    </row>
    <row r="72" spans="4:7" ht="12" customHeight="1">
      <c r="D72" s="107" t="s">
        <v>350</v>
      </c>
      <c r="E72" s="107"/>
      <c r="F72" s="107"/>
      <c r="G72" s="44">
        <v>17</v>
      </c>
    </row>
    <row r="73" spans="1:8" ht="12.75">
      <c r="A73" s="2" t="s">
        <v>192</v>
      </c>
      <c r="B73" s="2" t="s">
        <v>198</v>
      </c>
      <c r="C73" s="2" t="s">
        <v>272</v>
      </c>
      <c r="D73" s="80" t="s">
        <v>273</v>
      </c>
      <c r="E73" s="80"/>
      <c r="F73" s="2" t="s">
        <v>176</v>
      </c>
      <c r="G73" s="25">
        <v>17.17</v>
      </c>
      <c r="H73" s="25">
        <v>0</v>
      </c>
    </row>
    <row r="74" spans="4:7" ht="12" customHeight="1">
      <c r="D74" s="107" t="s">
        <v>350</v>
      </c>
      <c r="E74" s="107"/>
      <c r="F74" s="107"/>
      <c r="G74" s="44">
        <v>17</v>
      </c>
    </row>
    <row r="75" spans="1:8" ht="12" customHeight="1">
      <c r="A75" s="2"/>
      <c r="B75" s="2"/>
      <c r="C75" s="2"/>
      <c r="D75" s="107" t="s">
        <v>351</v>
      </c>
      <c r="E75" s="107"/>
      <c r="F75" s="107"/>
      <c r="G75" s="44">
        <v>0.17</v>
      </c>
      <c r="H75" s="26"/>
    </row>
    <row r="76" spans="1:8" ht="12.75">
      <c r="A76" s="2" t="s">
        <v>195</v>
      </c>
      <c r="B76" s="2" t="s">
        <v>198</v>
      </c>
      <c r="C76" s="2" t="s">
        <v>275</v>
      </c>
      <c r="D76" s="80" t="s">
        <v>276</v>
      </c>
      <c r="E76" s="80"/>
      <c r="F76" s="2" t="s">
        <v>89</v>
      </c>
      <c r="G76" s="25">
        <v>64.64</v>
      </c>
      <c r="H76" s="25">
        <v>0</v>
      </c>
    </row>
    <row r="77" spans="4:7" ht="12" customHeight="1">
      <c r="D77" s="107" t="s">
        <v>352</v>
      </c>
      <c r="E77" s="107"/>
      <c r="F77" s="107"/>
      <c r="G77" s="44">
        <v>64</v>
      </c>
    </row>
    <row r="78" spans="1:8" ht="12" customHeight="1">
      <c r="A78" s="2"/>
      <c r="B78" s="2"/>
      <c r="C78" s="2"/>
      <c r="D78" s="107" t="s">
        <v>353</v>
      </c>
      <c r="E78" s="107"/>
      <c r="F78" s="107"/>
      <c r="G78" s="44">
        <v>0.64</v>
      </c>
      <c r="H78" s="26"/>
    </row>
    <row r="79" spans="1:8" ht="12.75">
      <c r="A79" s="23"/>
      <c r="B79" s="23"/>
      <c r="C79" s="23" t="s">
        <v>221</v>
      </c>
      <c r="D79" s="108" t="s">
        <v>277</v>
      </c>
      <c r="E79" s="108"/>
      <c r="F79" s="23"/>
      <c r="G79" s="17"/>
      <c r="H79" s="17"/>
    </row>
    <row r="80" spans="1:8" ht="12.75">
      <c r="A80" s="2" t="s">
        <v>200</v>
      </c>
      <c r="B80" s="2" t="s">
        <v>198</v>
      </c>
      <c r="C80" s="2" t="s">
        <v>279</v>
      </c>
      <c r="D80" s="80" t="s">
        <v>280</v>
      </c>
      <c r="E80" s="80"/>
      <c r="F80" s="2" t="s">
        <v>176</v>
      </c>
      <c r="G80" s="25">
        <v>245</v>
      </c>
      <c r="H80" s="25">
        <v>0</v>
      </c>
    </row>
    <row r="81" spans="4:7" ht="12" customHeight="1">
      <c r="D81" s="107" t="s">
        <v>354</v>
      </c>
      <c r="E81" s="107"/>
      <c r="F81" s="107"/>
      <c r="G81" s="44">
        <v>245</v>
      </c>
    </row>
    <row r="82" spans="1:8" ht="12.75">
      <c r="A82" s="2" t="s">
        <v>205</v>
      </c>
      <c r="B82" s="2" t="s">
        <v>198</v>
      </c>
      <c r="C82" s="2" t="s">
        <v>283</v>
      </c>
      <c r="D82" s="80" t="s">
        <v>284</v>
      </c>
      <c r="E82" s="80"/>
      <c r="F82" s="2" t="s">
        <v>176</v>
      </c>
      <c r="G82" s="25">
        <v>214.12</v>
      </c>
      <c r="H82" s="25">
        <v>0</v>
      </c>
    </row>
    <row r="83" spans="4:7" ht="12" customHeight="1">
      <c r="D83" s="107" t="s">
        <v>355</v>
      </c>
      <c r="E83" s="107"/>
      <c r="F83" s="107"/>
      <c r="G83" s="44">
        <v>212</v>
      </c>
    </row>
    <row r="84" spans="1:8" ht="12" customHeight="1">
      <c r="A84" s="2"/>
      <c r="B84" s="2"/>
      <c r="C84" s="2"/>
      <c r="D84" s="107" t="s">
        <v>356</v>
      </c>
      <c r="E84" s="107"/>
      <c r="F84" s="107"/>
      <c r="G84" s="44">
        <v>2.12</v>
      </c>
      <c r="H84" s="26"/>
    </row>
    <row r="85" spans="1:8" ht="12.75">
      <c r="A85" s="2" t="s">
        <v>208</v>
      </c>
      <c r="B85" s="2" t="s">
        <v>198</v>
      </c>
      <c r="C85" s="2" t="s">
        <v>283</v>
      </c>
      <c r="D85" s="80" t="s">
        <v>286</v>
      </c>
      <c r="E85" s="80"/>
      <c r="F85" s="2" t="s">
        <v>176</v>
      </c>
      <c r="G85" s="25">
        <v>33.33</v>
      </c>
      <c r="H85" s="25">
        <v>0</v>
      </c>
    </row>
    <row r="86" spans="4:7" ht="12" customHeight="1">
      <c r="D86" s="107" t="s">
        <v>357</v>
      </c>
      <c r="E86" s="107"/>
      <c r="F86" s="107"/>
      <c r="G86" s="44">
        <v>33</v>
      </c>
    </row>
    <row r="87" spans="1:8" ht="12" customHeight="1">
      <c r="A87" s="2"/>
      <c r="B87" s="2"/>
      <c r="C87" s="2"/>
      <c r="D87" s="107" t="s">
        <v>358</v>
      </c>
      <c r="E87" s="107"/>
      <c r="F87" s="107"/>
      <c r="G87" s="44">
        <v>0.33</v>
      </c>
      <c r="H87" s="26"/>
    </row>
    <row r="88" spans="1:8" ht="12.75">
      <c r="A88" s="23"/>
      <c r="B88" s="23"/>
      <c r="C88" s="23" t="s">
        <v>104</v>
      </c>
      <c r="D88" s="108" t="s">
        <v>105</v>
      </c>
      <c r="E88" s="108"/>
      <c r="F88" s="23"/>
      <c r="G88" s="17"/>
      <c r="H88" s="17"/>
    </row>
    <row r="89" spans="1:8" ht="12.75">
      <c r="A89" s="2" t="s">
        <v>211</v>
      </c>
      <c r="B89" s="2" t="s">
        <v>45</v>
      </c>
      <c r="C89" s="2" t="s">
        <v>107</v>
      </c>
      <c r="D89" s="80" t="s">
        <v>108</v>
      </c>
      <c r="E89" s="80"/>
      <c r="F89" s="2" t="s">
        <v>89</v>
      </c>
      <c r="G89" s="25">
        <v>1116</v>
      </c>
      <c r="H89" s="25">
        <v>0</v>
      </c>
    </row>
    <row r="90" spans="4:7" ht="12" customHeight="1">
      <c r="D90" s="107" t="s">
        <v>359</v>
      </c>
      <c r="E90" s="107"/>
      <c r="F90" s="107"/>
      <c r="G90" s="44">
        <v>1116</v>
      </c>
    </row>
    <row r="91" spans="1:8" ht="12.75">
      <c r="A91" s="2" t="s">
        <v>214</v>
      </c>
      <c r="B91" s="2" t="s">
        <v>45</v>
      </c>
      <c r="C91" s="2" t="s">
        <v>112</v>
      </c>
      <c r="D91" s="80" t="s">
        <v>108</v>
      </c>
      <c r="E91" s="80"/>
      <c r="F91" s="2" t="s">
        <v>89</v>
      </c>
      <c r="G91" s="25">
        <v>1115</v>
      </c>
      <c r="H91" s="25">
        <v>0</v>
      </c>
    </row>
    <row r="92" spans="4:7" ht="12" customHeight="1">
      <c r="D92" s="107" t="s">
        <v>360</v>
      </c>
      <c r="E92" s="107"/>
      <c r="F92" s="107"/>
      <c r="G92" s="44">
        <v>1115</v>
      </c>
    </row>
    <row r="93" spans="1:8" ht="12.75" customHeight="1">
      <c r="A93" s="2" t="s">
        <v>216</v>
      </c>
      <c r="B93" s="2" t="s">
        <v>45</v>
      </c>
      <c r="C93" s="2" t="s">
        <v>114</v>
      </c>
      <c r="D93" s="80" t="s">
        <v>115</v>
      </c>
      <c r="E93" s="80"/>
      <c r="F93" s="2" t="s">
        <v>89</v>
      </c>
      <c r="G93" s="25">
        <v>4467.5</v>
      </c>
      <c r="H93" s="25">
        <v>0</v>
      </c>
    </row>
    <row r="94" spans="4:7" ht="12" customHeight="1">
      <c r="D94" s="107" t="s">
        <v>361</v>
      </c>
      <c r="E94" s="107"/>
      <c r="F94" s="107"/>
      <c r="G94" s="44">
        <v>4467.5</v>
      </c>
    </row>
    <row r="95" spans="1:8" ht="12.75">
      <c r="A95" s="2" t="s">
        <v>221</v>
      </c>
      <c r="B95" s="2" t="s">
        <v>45</v>
      </c>
      <c r="C95" s="2" t="s">
        <v>117</v>
      </c>
      <c r="D95" s="80" t="s">
        <v>118</v>
      </c>
      <c r="E95" s="80"/>
      <c r="F95" s="2" t="s">
        <v>89</v>
      </c>
      <c r="G95" s="25">
        <v>13402.5</v>
      </c>
      <c r="H95" s="25">
        <v>0</v>
      </c>
    </row>
    <row r="96" spans="4:7" ht="12" customHeight="1">
      <c r="D96" s="107" t="s">
        <v>362</v>
      </c>
      <c r="E96" s="107"/>
      <c r="F96" s="107"/>
      <c r="G96" s="44">
        <v>3348</v>
      </c>
    </row>
    <row r="97" spans="1:8" ht="12" customHeight="1">
      <c r="A97" s="2"/>
      <c r="B97" s="2"/>
      <c r="C97" s="2"/>
      <c r="D97" s="107" t="s">
        <v>363</v>
      </c>
      <c r="E97" s="107"/>
      <c r="F97" s="107"/>
      <c r="G97" s="44">
        <v>1660.5</v>
      </c>
      <c r="H97" s="26"/>
    </row>
    <row r="98" spans="1:8" ht="12" customHeight="1">
      <c r="A98" s="2"/>
      <c r="B98" s="2"/>
      <c r="C98" s="2"/>
      <c r="D98" s="107" t="s">
        <v>364</v>
      </c>
      <c r="E98" s="107"/>
      <c r="F98" s="107"/>
      <c r="G98" s="44">
        <v>1684.5</v>
      </c>
      <c r="H98" s="26"/>
    </row>
    <row r="99" spans="1:8" ht="12" customHeight="1">
      <c r="A99" s="2"/>
      <c r="B99" s="2"/>
      <c r="C99" s="2"/>
      <c r="D99" s="107" t="s">
        <v>365</v>
      </c>
      <c r="E99" s="107"/>
      <c r="F99" s="107"/>
      <c r="G99" s="44">
        <v>6709.5</v>
      </c>
      <c r="H99" s="26"/>
    </row>
    <row r="100" spans="1:8" ht="12.75">
      <c r="A100" s="2" t="s">
        <v>226</v>
      </c>
      <c r="B100" s="2" t="s">
        <v>45</v>
      </c>
      <c r="C100" s="2" t="s">
        <v>120</v>
      </c>
      <c r="D100" s="80" t="s">
        <v>121</v>
      </c>
      <c r="E100" s="80"/>
      <c r="F100" s="2" t="s">
        <v>122</v>
      </c>
      <c r="G100" s="25">
        <v>5</v>
      </c>
      <c r="H100" s="25">
        <v>0</v>
      </c>
    </row>
    <row r="101" spans="1:8" ht="12.75">
      <c r="A101" s="2" t="s">
        <v>230</v>
      </c>
      <c r="B101" s="2" t="s">
        <v>45</v>
      </c>
      <c r="C101" s="2" t="s">
        <v>124</v>
      </c>
      <c r="D101" s="80" t="s">
        <v>125</v>
      </c>
      <c r="E101" s="80"/>
      <c r="F101" s="2" t="s">
        <v>89</v>
      </c>
      <c r="G101" s="25">
        <v>1273.05</v>
      </c>
      <c r="H101" s="25">
        <v>0</v>
      </c>
    </row>
    <row r="102" spans="4:7" ht="12" customHeight="1">
      <c r="D102" s="107" t="s">
        <v>366</v>
      </c>
      <c r="E102" s="107"/>
      <c r="F102" s="107"/>
      <c r="G102" s="44">
        <v>1273.05</v>
      </c>
    </row>
    <row r="103" spans="1:8" ht="12.75">
      <c r="A103" s="23"/>
      <c r="B103" s="23"/>
      <c r="C103" s="23" t="s">
        <v>126</v>
      </c>
      <c r="D103" s="108" t="s">
        <v>127</v>
      </c>
      <c r="E103" s="108"/>
      <c r="F103" s="23"/>
      <c r="G103" s="17"/>
      <c r="H103" s="17"/>
    </row>
    <row r="104" spans="1:8" ht="12.75">
      <c r="A104" s="2" t="s">
        <v>233</v>
      </c>
      <c r="B104" s="2" t="s">
        <v>45</v>
      </c>
      <c r="C104" s="2" t="s">
        <v>129</v>
      </c>
      <c r="D104" s="80" t="s">
        <v>130</v>
      </c>
      <c r="E104" s="80"/>
      <c r="F104" s="2" t="s">
        <v>89</v>
      </c>
      <c r="G104" s="25">
        <v>2236.5</v>
      </c>
      <c r="H104" s="25">
        <v>0</v>
      </c>
    </row>
    <row r="105" spans="4:7" ht="12" customHeight="1">
      <c r="D105" s="107" t="s">
        <v>367</v>
      </c>
      <c r="E105" s="107"/>
      <c r="F105" s="107"/>
      <c r="G105" s="44">
        <v>2236.5</v>
      </c>
    </row>
    <row r="106" spans="1:8" ht="12.75">
      <c r="A106" s="2" t="s">
        <v>236</v>
      </c>
      <c r="B106" s="2" t="s">
        <v>45</v>
      </c>
      <c r="C106" s="2" t="s">
        <v>133</v>
      </c>
      <c r="D106" s="80" t="s">
        <v>134</v>
      </c>
      <c r="E106" s="80"/>
      <c r="F106" s="2" t="s">
        <v>89</v>
      </c>
      <c r="G106" s="25">
        <v>1116</v>
      </c>
      <c r="H106" s="25">
        <v>0</v>
      </c>
    </row>
    <row r="107" spans="4:7" ht="12" customHeight="1">
      <c r="D107" s="107" t="s">
        <v>368</v>
      </c>
      <c r="E107" s="107"/>
      <c r="F107" s="107"/>
      <c r="G107" s="44">
        <v>1116</v>
      </c>
    </row>
    <row r="108" spans="1:8" ht="12.75">
      <c r="A108" s="2" t="s">
        <v>240</v>
      </c>
      <c r="B108" s="2" t="s">
        <v>45</v>
      </c>
      <c r="C108" s="2" t="s">
        <v>137</v>
      </c>
      <c r="D108" s="80" t="s">
        <v>138</v>
      </c>
      <c r="E108" s="80"/>
      <c r="F108" s="2" t="s">
        <v>89</v>
      </c>
      <c r="G108" s="25">
        <v>561.5</v>
      </c>
      <c r="H108" s="25">
        <v>0</v>
      </c>
    </row>
    <row r="109" spans="4:7" ht="12" customHeight="1">
      <c r="D109" s="107" t="s">
        <v>369</v>
      </c>
      <c r="E109" s="107"/>
      <c r="F109" s="107"/>
      <c r="G109" s="44">
        <v>561.5</v>
      </c>
    </row>
    <row r="110" spans="1:8" ht="12.75">
      <c r="A110" s="2" t="s">
        <v>243</v>
      </c>
      <c r="B110" s="2" t="s">
        <v>45</v>
      </c>
      <c r="C110" s="2" t="s">
        <v>141</v>
      </c>
      <c r="D110" s="80" t="s">
        <v>138</v>
      </c>
      <c r="E110" s="80"/>
      <c r="F110" s="2" t="s">
        <v>89</v>
      </c>
      <c r="G110" s="25">
        <v>553.5</v>
      </c>
      <c r="H110" s="25">
        <v>0</v>
      </c>
    </row>
    <row r="111" spans="4:7" ht="12" customHeight="1">
      <c r="D111" s="107" t="s">
        <v>370</v>
      </c>
      <c r="E111" s="107"/>
      <c r="F111" s="107"/>
      <c r="G111" s="44">
        <v>553.5</v>
      </c>
    </row>
    <row r="112" spans="1:8" ht="12.75">
      <c r="A112" s="2" t="s">
        <v>246</v>
      </c>
      <c r="B112" s="2" t="s">
        <v>45</v>
      </c>
      <c r="C112" s="2" t="s">
        <v>143</v>
      </c>
      <c r="D112" s="80" t="s">
        <v>144</v>
      </c>
      <c r="E112" s="80"/>
      <c r="F112" s="2" t="s">
        <v>145</v>
      </c>
      <c r="G112" s="25">
        <v>10.39626</v>
      </c>
      <c r="H112" s="25">
        <v>0</v>
      </c>
    </row>
    <row r="113" spans="4:7" ht="12" customHeight="1">
      <c r="D113" s="107" t="s">
        <v>371</v>
      </c>
      <c r="E113" s="107"/>
      <c r="F113" s="107"/>
      <c r="G113" s="44">
        <v>10.39626</v>
      </c>
    </row>
    <row r="114" spans="1:8" ht="12.75">
      <c r="A114" s="2" t="s">
        <v>250</v>
      </c>
      <c r="B114" s="2" t="s">
        <v>45</v>
      </c>
      <c r="C114" s="2" t="s">
        <v>148</v>
      </c>
      <c r="D114" s="80" t="s">
        <v>149</v>
      </c>
      <c r="E114" s="80"/>
      <c r="F114" s="2" t="s">
        <v>89</v>
      </c>
      <c r="G114" s="25">
        <v>1127.16</v>
      </c>
      <c r="H114" s="25">
        <v>0</v>
      </c>
    </row>
    <row r="115" spans="4:7" ht="12" customHeight="1">
      <c r="D115" s="107" t="s">
        <v>368</v>
      </c>
      <c r="E115" s="107"/>
      <c r="F115" s="107"/>
      <c r="G115" s="44">
        <v>1116</v>
      </c>
    </row>
    <row r="116" spans="1:8" ht="12" customHeight="1">
      <c r="A116" s="2"/>
      <c r="B116" s="2"/>
      <c r="C116" s="2"/>
      <c r="D116" s="107" t="s">
        <v>372</v>
      </c>
      <c r="E116" s="107"/>
      <c r="F116" s="107"/>
      <c r="G116" s="44">
        <v>11.16</v>
      </c>
      <c r="H116" s="26"/>
    </row>
    <row r="117" spans="1:8" ht="12.75">
      <c r="A117" s="23"/>
      <c r="B117" s="23"/>
      <c r="C117" s="23" t="s">
        <v>150</v>
      </c>
      <c r="D117" s="108" t="s">
        <v>151</v>
      </c>
      <c r="E117" s="108"/>
      <c r="F117" s="23"/>
      <c r="G117" s="17"/>
      <c r="H117" s="17"/>
    </row>
    <row r="118" spans="1:8" ht="12.75">
      <c r="A118" s="2" t="s">
        <v>256</v>
      </c>
      <c r="B118" s="2" t="s">
        <v>45</v>
      </c>
      <c r="C118" s="2" t="s">
        <v>153</v>
      </c>
      <c r="D118" s="80" t="s">
        <v>154</v>
      </c>
      <c r="E118" s="80"/>
      <c r="F118" s="2" t="s">
        <v>89</v>
      </c>
      <c r="G118" s="25">
        <v>553.5</v>
      </c>
      <c r="H118" s="25">
        <v>0</v>
      </c>
    </row>
    <row r="119" spans="4:7" ht="12" customHeight="1">
      <c r="D119" s="107" t="s">
        <v>373</v>
      </c>
      <c r="E119" s="107"/>
      <c r="F119" s="107"/>
      <c r="G119" s="44">
        <v>553.5</v>
      </c>
    </row>
    <row r="120" spans="1:8" ht="12.75">
      <c r="A120" s="2" t="s">
        <v>259</v>
      </c>
      <c r="B120" s="2" t="s">
        <v>45</v>
      </c>
      <c r="C120" s="2" t="s">
        <v>159</v>
      </c>
      <c r="D120" s="80" t="s">
        <v>160</v>
      </c>
      <c r="E120" s="80"/>
      <c r="F120" s="2" t="s">
        <v>145</v>
      </c>
      <c r="G120" s="25">
        <v>1.19</v>
      </c>
      <c r="H120" s="25">
        <v>0</v>
      </c>
    </row>
    <row r="121" spans="1:8" ht="12.75">
      <c r="A121" s="2" t="s">
        <v>262</v>
      </c>
      <c r="B121" s="2" t="s">
        <v>198</v>
      </c>
      <c r="C121" s="2" t="s">
        <v>287</v>
      </c>
      <c r="D121" s="80" t="s">
        <v>288</v>
      </c>
      <c r="E121" s="80"/>
      <c r="F121" s="2" t="s">
        <v>89</v>
      </c>
      <c r="G121" s="25">
        <v>95.5</v>
      </c>
      <c r="H121" s="25">
        <v>0</v>
      </c>
    </row>
    <row r="122" spans="4:7" ht="12" customHeight="1">
      <c r="D122" s="107" t="s">
        <v>374</v>
      </c>
      <c r="E122" s="107"/>
      <c r="F122" s="107"/>
      <c r="G122" s="44">
        <v>95.5</v>
      </c>
    </row>
    <row r="123" spans="1:8" ht="12.75">
      <c r="A123" s="2" t="s">
        <v>266</v>
      </c>
      <c r="B123" s="2" t="s">
        <v>198</v>
      </c>
      <c r="C123" s="2" t="s">
        <v>159</v>
      </c>
      <c r="D123" s="80" t="s">
        <v>160</v>
      </c>
      <c r="E123" s="80"/>
      <c r="F123" s="2" t="s">
        <v>145</v>
      </c>
      <c r="G123" s="25">
        <v>0.0076</v>
      </c>
      <c r="H123" s="25">
        <v>0</v>
      </c>
    </row>
    <row r="124" spans="1:8" ht="12.75">
      <c r="A124" s="23"/>
      <c r="B124" s="23"/>
      <c r="C124" s="23" t="s">
        <v>291</v>
      </c>
      <c r="D124" s="108" t="s">
        <v>292</v>
      </c>
      <c r="E124" s="108"/>
      <c r="F124" s="23"/>
      <c r="G124" s="17"/>
      <c r="H124" s="17"/>
    </row>
    <row r="125" spans="1:8" ht="12.75">
      <c r="A125" s="2" t="s">
        <v>271</v>
      </c>
      <c r="B125" s="2" t="s">
        <v>198</v>
      </c>
      <c r="C125" s="2" t="s">
        <v>293</v>
      </c>
      <c r="D125" s="80" t="s">
        <v>294</v>
      </c>
      <c r="E125" s="80"/>
      <c r="F125" s="2" t="s">
        <v>176</v>
      </c>
      <c r="G125" s="25">
        <v>2</v>
      </c>
      <c r="H125" s="25">
        <v>0</v>
      </c>
    </row>
    <row r="126" spans="1:8" ht="12.75">
      <c r="A126" s="2" t="s">
        <v>274</v>
      </c>
      <c r="B126" s="2" t="s">
        <v>198</v>
      </c>
      <c r="C126" s="2" t="s">
        <v>299</v>
      </c>
      <c r="D126" s="80" t="s">
        <v>300</v>
      </c>
      <c r="E126" s="80"/>
      <c r="F126" s="2" t="s">
        <v>301</v>
      </c>
      <c r="G126" s="25">
        <v>1740.5</v>
      </c>
      <c r="H126" s="25">
        <v>0</v>
      </c>
    </row>
    <row r="127" spans="1:8" ht="12.75">
      <c r="A127" s="23"/>
      <c r="B127" s="23"/>
      <c r="C127" s="23" t="s">
        <v>161</v>
      </c>
      <c r="D127" s="108" t="s">
        <v>162</v>
      </c>
      <c r="E127" s="108"/>
      <c r="F127" s="23"/>
      <c r="G127" s="17"/>
      <c r="H127" s="17"/>
    </row>
    <row r="128" spans="1:8" ht="12.75">
      <c r="A128" s="2" t="s">
        <v>278</v>
      </c>
      <c r="B128" s="2" t="s">
        <v>45</v>
      </c>
      <c r="C128" s="2" t="s">
        <v>164</v>
      </c>
      <c r="D128" s="80" t="s">
        <v>165</v>
      </c>
      <c r="E128" s="80"/>
      <c r="F128" s="2" t="s">
        <v>77</v>
      </c>
      <c r="G128" s="25">
        <v>18.6</v>
      </c>
      <c r="H128" s="25">
        <v>0</v>
      </c>
    </row>
    <row r="129" spans="4:7" ht="12" customHeight="1">
      <c r="D129" s="107" t="s">
        <v>375</v>
      </c>
      <c r="E129" s="107"/>
      <c r="F129" s="107"/>
      <c r="G129" s="44">
        <v>18.6</v>
      </c>
    </row>
    <row r="130" spans="1:8" ht="12.75">
      <c r="A130" s="2" t="s">
        <v>282</v>
      </c>
      <c r="B130" s="2" t="s">
        <v>45</v>
      </c>
      <c r="C130" s="2" t="s">
        <v>169</v>
      </c>
      <c r="D130" s="80" t="s">
        <v>170</v>
      </c>
      <c r="E130" s="80"/>
      <c r="F130" s="2" t="s">
        <v>77</v>
      </c>
      <c r="G130" s="25">
        <v>18.972</v>
      </c>
      <c r="H130" s="25">
        <v>0</v>
      </c>
    </row>
    <row r="131" spans="4:7" ht="12" customHeight="1">
      <c r="D131" s="107" t="s">
        <v>375</v>
      </c>
      <c r="E131" s="107"/>
      <c r="F131" s="107"/>
      <c r="G131" s="44">
        <v>18.6</v>
      </c>
    </row>
    <row r="132" spans="1:8" ht="12" customHeight="1">
      <c r="A132" s="2"/>
      <c r="B132" s="2"/>
      <c r="C132" s="2"/>
      <c r="D132" s="107" t="s">
        <v>376</v>
      </c>
      <c r="E132" s="107"/>
      <c r="F132" s="107"/>
      <c r="G132" s="44">
        <v>0.372</v>
      </c>
      <c r="H132" s="26"/>
    </row>
    <row r="133" spans="1:8" ht="12.75">
      <c r="A133" s="23"/>
      <c r="B133" s="23"/>
      <c r="C133" s="23" t="s">
        <v>302</v>
      </c>
      <c r="D133" s="108" t="s">
        <v>303</v>
      </c>
      <c r="E133" s="108"/>
      <c r="F133" s="23"/>
      <c r="G133" s="17"/>
      <c r="H133" s="17"/>
    </row>
    <row r="134" spans="1:8" ht="12.75">
      <c r="A134" s="2" t="s">
        <v>285</v>
      </c>
      <c r="B134" s="2" t="s">
        <v>198</v>
      </c>
      <c r="C134" s="2" t="s">
        <v>305</v>
      </c>
      <c r="D134" s="80" t="s">
        <v>306</v>
      </c>
      <c r="E134" s="80"/>
      <c r="F134" s="2" t="s">
        <v>77</v>
      </c>
      <c r="G134" s="25">
        <v>84</v>
      </c>
      <c r="H134" s="25">
        <v>0</v>
      </c>
    </row>
    <row r="135" spans="4:7" ht="12" customHeight="1">
      <c r="D135" s="107" t="s">
        <v>377</v>
      </c>
      <c r="E135" s="107"/>
      <c r="F135" s="107"/>
      <c r="G135" s="44">
        <v>84</v>
      </c>
    </row>
    <row r="136" spans="1:8" ht="12.75">
      <c r="A136" s="2" t="s">
        <v>104</v>
      </c>
      <c r="B136" s="2" t="s">
        <v>198</v>
      </c>
      <c r="C136" s="2" t="s">
        <v>310</v>
      </c>
      <c r="D136" s="80" t="s">
        <v>311</v>
      </c>
      <c r="E136" s="80"/>
      <c r="F136" s="2" t="s">
        <v>176</v>
      </c>
      <c r="G136" s="25">
        <v>28</v>
      </c>
      <c r="H136" s="25">
        <v>0</v>
      </c>
    </row>
    <row r="137" spans="1:8" ht="12.75">
      <c r="A137" s="23"/>
      <c r="B137" s="23"/>
      <c r="C137" s="23" t="s">
        <v>179</v>
      </c>
      <c r="D137" s="108" t="s">
        <v>180</v>
      </c>
      <c r="E137" s="108"/>
      <c r="F137" s="23"/>
      <c r="G137" s="17"/>
      <c r="H137" s="17"/>
    </row>
    <row r="138" spans="1:8" ht="12.75">
      <c r="A138" s="2" t="s">
        <v>290</v>
      </c>
      <c r="B138" s="2" t="s">
        <v>45</v>
      </c>
      <c r="C138" s="2" t="s">
        <v>182</v>
      </c>
      <c r="D138" s="80" t="s">
        <v>183</v>
      </c>
      <c r="E138" s="80"/>
      <c r="F138" s="2" t="s">
        <v>176</v>
      </c>
      <c r="G138" s="25">
        <v>1</v>
      </c>
      <c r="H138" s="25">
        <v>0</v>
      </c>
    </row>
    <row r="139" spans="4:7" ht="12" customHeight="1">
      <c r="D139" s="107" t="s">
        <v>378</v>
      </c>
      <c r="E139" s="107"/>
      <c r="F139" s="107"/>
      <c r="G139" s="44">
        <v>1</v>
      </c>
    </row>
    <row r="140" spans="1:8" ht="12.75">
      <c r="A140" s="23"/>
      <c r="B140" s="23"/>
      <c r="C140" s="23" t="s">
        <v>313</v>
      </c>
      <c r="D140" s="108" t="s">
        <v>314</v>
      </c>
      <c r="E140" s="108"/>
      <c r="F140" s="23"/>
      <c r="G140" s="17"/>
      <c r="H140" s="17"/>
    </row>
    <row r="141" spans="1:8" ht="12.75">
      <c r="A141" s="2" t="s">
        <v>126</v>
      </c>
      <c r="B141" s="2" t="s">
        <v>198</v>
      </c>
      <c r="C141" s="2" t="s">
        <v>316</v>
      </c>
      <c r="D141" s="80" t="s">
        <v>317</v>
      </c>
      <c r="E141" s="80"/>
      <c r="F141" s="2" t="s">
        <v>145</v>
      </c>
      <c r="G141" s="25">
        <v>1543.7</v>
      </c>
      <c r="H141" s="25">
        <v>0</v>
      </c>
    </row>
    <row r="142" spans="1:8" ht="12.75">
      <c r="A142" s="23"/>
      <c r="B142" s="23"/>
      <c r="C142" s="23" t="s">
        <v>186</v>
      </c>
      <c r="D142" s="108" t="s">
        <v>187</v>
      </c>
      <c r="E142" s="108"/>
      <c r="F142" s="23"/>
      <c r="G142" s="17"/>
      <c r="H142" s="17"/>
    </row>
    <row r="143" spans="1:8" ht="12.75">
      <c r="A143" s="2" t="s">
        <v>298</v>
      </c>
      <c r="B143" s="2" t="s">
        <v>45</v>
      </c>
      <c r="C143" s="2" t="s">
        <v>189</v>
      </c>
      <c r="D143" s="80" t="s">
        <v>190</v>
      </c>
      <c r="E143" s="80"/>
      <c r="F143" s="2" t="s">
        <v>145</v>
      </c>
      <c r="G143" s="25">
        <v>2174.6</v>
      </c>
      <c r="H143" s="25">
        <v>0</v>
      </c>
    </row>
    <row r="144" spans="1:8" ht="12.75">
      <c r="A144" s="2" t="s">
        <v>304</v>
      </c>
      <c r="B144" s="2" t="s">
        <v>45</v>
      </c>
      <c r="C144" s="2" t="s">
        <v>193</v>
      </c>
      <c r="D144" s="80" t="s">
        <v>194</v>
      </c>
      <c r="E144" s="80"/>
      <c r="F144" s="2" t="s">
        <v>145</v>
      </c>
      <c r="G144" s="25">
        <v>2097.9</v>
      </c>
      <c r="H144" s="25">
        <v>0</v>
      </c>
    </row>
    <row r="145" spans="1:8" ht="12.75">
      <c r="A145" s="2" t="s">
        <v>309</v>
      </c>
      <c r="B145" s="2" t="s">
        <v>45</v>
      </c>
      <c r="C145" s="2" t="s">
        <v>196</v>
      </c>
      <c r="D145" s="80" t="s">
        <v>197</v>
      </c>
      <c r="E145" s="80"/>
      <c r="F145" s="2" t="s">
        <v>145</v>
      </c>
      <c r="G145" s="25">
        <v>7104.9</v>
      </c>
      <c r="H145" s="25">
        <v>0</v>
      </c>
    </row>
    <row r="147" ht="11.25" customHeight="1">
      <c r="A147" s="33" t="s">
        <v>320</v>
      </c>
    </row>
    <row r="148" spans="1:7" ht="12.75">
      <c r="A148" s="78"/>
      <c r="B148" s="78"/>
      <c r="C148" s="78"/>
      <c r="D148" s="78"/>
      <c r="E148" s="78"/>
      <c r="F148" s="78"/>
      <c r="G148" s="78"/>
    </row>
  </sheetData>
  <sheetProtection selectLockedCells="1" selectUnlockedCells="1"/>
  <mergeCells count="154">
    <mergeCell ref="D142:E142"/>
    <mergeCell ref="D143:E143"/>
    <mergeCell ref="D144:E144"/>
    <mergeCell ref="D145:E145"/>
    <mergeCell ref="A148:G148"/>
    <mergeCell ref="D136:E136"/>
    <mergeCell ref="D137:E137"/>
    <mergeCell ref="D138:E138"/>
    <mergeCell ref="D139:F139"/>
    <mergeCell ref="D140:E140"/>
    <mergeCell ref="D141:E141"/>
    <mergeCell ref="D130:E130"/>
    <mergeCell ref="D131:F131"/>
    <mergeCell ref="D132:F132"/>
    <mergeCell ref="D133:E133"/>
    <mergeCell ref="D134:E134"/>
    <mergeCell ref="D135:F135"/>
    <mergeCell ref="D124:E124"/>
    <mergeCell ref="D125:E125"/>
    <mergeCell ref="D126:E126"/>
    <mergeCell ref="D127:E127"/>
    <mergeCell ref="D128:E128"/>
    <mergeCell ref="D129:F129"/>
    <mergeCell ref="D118:E118"/>
    <mergeCell ref="D119:F119"/>
    <mergeCell ref="D120:E120"/>
    <mergeCell ref="D121:E121"/>
    <mergeCell ref="D122:F122"/>
    <mergeCell ref="D123:E123"/>
    <mergeCell ref="D112:E112"/>
    <mergeCell ref="D113:F113"/>
    <mergeCell ref="D114:E114"/>
    <mergeCell ref="D115:F115"/>
    <mergeCell ref="D116:F116"/>
    <mergeCell ref="D117:E117"/>
    <mergeCell ref="D106:E106"/>
    <mergeCell ref="D107:F107"/>
    <mergeCell ref="D108:E108"/>
    <mergeCell ref="D109:F109"/>
    <mergeCell ref="D110:E110"/>
    <mergeCell ref="D111:F111"/>
    <mergeCell ref="D100:E100"/>
    <mergeCell ref="D101:E101"/>
    <mergeCell ref="D102:F102"/>
    <mergeCell ref="D103:E103"/>
    <mergeCell ref="D104:E104"/>
    <mergeCell ref="D105:F105"/>
    <mergeCell ref="D94:F94"/>
    <mergeCell ref="D95:E95"/>
    <mergeCell ref="D96:F96"/>
    <mergeCell ref="D97:F97"/>
    <mergeCell ref="D98:F98"/>
    <mergeCell ref="D99:F99"/>
    <mergeCell ref="D88:E88"/>
    <mergeCell ref="D89:E89"/>
    <mergeCell ref="D90:F90"/>
    <mergeCell ref="D91:E91"/>
    <mergeCell ref="D92:F92"/>
    <mergeCell ref="D93:E93"/>
    <mergeCell ref="D82:E82"/>
    <mergeCell ref="D83:F83"/>
    <mergeCell ref="D84:F84"/>
    <mergeCell ref="D85:E85"/>
    <mergeCell ref="D86:F86"/>
    <mergeCell ref="D87:F87"/>
    <mergeCell ref="D76:E76"/>
    <mergeCell ref="D77:F77"/>
    <mergeCell ref="D78:F78"/>
    <mergeCell ref="D79:E79"/>
    <mergeCell ref="D80:E80"/>
    <mergeCell ref="D81:F81"/>
    <mergeCell ref="D70:E70"/>
    <mergeCell ref="D71:E71"/>
    <mergeCell ref="D72:F72"/>
    <mergeCell ref="D73:E73"/>
    <mergeCell ref="D74:F74"/>
    <mergeCell ref="D75:F75"/>
    <mergeCell ref="D64:F64"/>
    <mergeCell ref="D65:E65"/>
    <mergeCell ref="D66:F66"/>
    <mergeCell ref="D67:E67"/>
    <mergeCell ref="D68:F68"/>
    <mergeCell ref="D69:E69"/>
    <mergeCell ref="D58:E58"/>
    <mergeCell ref="D59:F59"/>
    <mergeCell ref="D60:E60"/>
    <mergeCell ref="D61:F61"/>
    <mergeCell ref="D62:E62"/>
    <mergeCell ref="D63:E63"/>
    <mergeCell ref="D52:E52"/>
    <mergeCell ref="D53:F53"/>
    <mergeCell ref="D54:E54"/>
    <mergeCell ref="D55:F55"/>
    <mergeCell ref="D56:E56"/>
    <mergeCell ref="D57:F57"/>
    <mergeCell ref="D46:E46"/>
    <mergeCell ref="D47:E47"/>
    <mergeCell ref="D48:F48"/>
    <mergeCell ref="D49:E49"/>
    <mergeCell ref="D50:F50"/>
    <mergeCell ref="D51:E51"/>
    <mergeCell ref="D40:F40"/>
    <mergeCell ref="D41:E41"/>
    <mergeCell ref="D42:E42"/>
    <mergeCell ref="D43:F43"/>
    <mergeCell ref="D44:E44"/>
    <mergeCell ref="D45:E45"/>
    <mergeCell ref="D34:F34"/>
    <mergeCell ref="D35:E35"/>
    <mergeCell ref="D36:E36"/>
    <mergeCell ref="D37:F37"/>
    <mergeCell ref="D38:E38"/>
    <mergeCell ref="D39:E39"/>
    <mergeCell ref="D28:E28"/>
    <mergeCell ref="D29:F29"/>
    <mergeCell ref="D30:E30"/>
    <mergeCell ref="D31:E31"/>
    <mergeCell ref="D32:F32"/>
    <mergeCell ref="D33:E33"/>
    <mergeCell ref="D22:F22"/>
    <mergeCell ref="D23:E23"/>
    <mergeCell ref="D24:E24"/>
    <mergeCell ref="D25:F25"/>
    <mergeCell ref="D26:E26"/>
    <mergeCell ref="D27:E27"/>
    <mergeCell ref="D16:E16"/>
    <mergeCell ref="D17:E17"/>
    <mergeCell ref="D18:F18"/>
    <mergeCell ref="D19:E19"/>
    <mergeCell ref="D20:F20"/>
    <mergeCell ref="D21:E21"/>
    <mergeCell ref="D10:E10"/>
    <mergeCell ref="D11:E11"/>
    <mergeCell ref="D12:E12"/>
    <mergeCell ref="D13:F13"/>
    <mergeCell ref="D14:E14"/>
    <mergeCell ref="D15:F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H32" sqref="H3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45"/>
      <c r="B1" s="46"/>
      <c r="C1" s="72" t="s">
        <v>423</v>
      </c>
      <c r="D1" s="72"/>
      <c r="E1" s="72"/>
      <c r="F1" s="72"/>
      <c r="G1" s="72"/>
      <c r="H1" s="72"/>
      <c r="I1" s="72"/>
    </row>
    <row r="2" spans="1:10" ht="12.75" customHeight="1">
      <c r="A2" s="73" t="s">
        <v>1</v>
      </c>
      <c r="B2" s="73"/>
      <c r="C2" s="74" t="str">
        <f>'Stavební rozpočet'!D2</f>
        <v>Zařízení na úpravu odpadů f.BERGASTO s.r.o. </v>
      </c>
      <c r="D2" s="74"/>
      <c r="E2" s="75" t="s">
        <v>4</v>
      </c>
      <c r="F2" s="75" t="str">
        <f>'Stavební rozpočet'!I2</f>
        <v> </v>
      </c>
      <c r="G2" s="75"/>
      <c r="H2" s="75" t="s">
        <v>380</v>
      </c>
      <c r="I2" s="76"/>
      <c r="J2" s="1"/>
    </row>
    <row r="3" spans="1:10" ht="12.75">
      <c r="A3" s="73"/>
      <c r="B3" s="73"/>
      <c r="C3" s="74"/>
      <c r="D3" s="74"/>
      <c r="E3" s="75"/>
      <c r="F3" s="75"/>
      <c r="G3" s="75"/>
      <c r="H3" s="75"/>
      <c r="I3" s="76"/>
      <c r="J3" s="1"/>
    </row>
    <row r="4" spans="1:10" ht="12.75" customHeight="1">
      <c r="A4" s="77" t="s">
        <v>6</v>
      </c>
      <c r="B4" s="77"/>
      <c r="C4" s="78" t="str">
        <f>'Stavební rozpočet'!D4</f>
        <v> </v>
      </c>
      <c r="D4" s="78"/>
      <c r="E4" s="78" t="s">
        <v>8</v>
      </c>
      <c r="F4" s="78" t="str">
        <f>'Stavební rozpočet'!I4</f>
        <v> </v>
      </c>
      <c r="G4" s="78"/>
      <c r="H4" s="78" t="s">
        <v>380</v>
      </c>
      <c r="I4" s="79"/>
      <c r="J4" s="1"/>
    </row>
    <row r="5" spans="1:10" ht="12.75">
      <c r="A5" s="77"/>
      <c r="B5" s="77"/>
      <c r="C5" s="78"/>
      <c r="D5" s="78"/>
      <c r="E5" s="78"/>
      <c r="F5" s="78"/>
      <c r="G5" s="78"/>
      <c r="H5" s="78"/>
      <c r="I5" s="79"/>
      <c r="J5" s="1"/>
    </row>
    <row r="6" spans="1:10" ht="12.75" customHeight="1">
      <c r="A6" s="77" t="s">
        <v>9</v>
      </c>
      <c r="B6" s="77"/>
      <c r="C6" s="78" t="str">
        <f>'Stavební rozpočet'!D6</f>
        <v>Suchonice</v>
      </c>
      <c r="D6" s="78"/>
      <c r="E6" s="78" t="s">
        <v>12</v>
      </c>
      <c r="F6" s="78" t="str">
        <f>'Stavební rozpočet'!I6</f>
        <v> </v>
      </c>
      <c r="G6" s="78"/>
      <c r="H6" s="78" t="s">
        <v>380</v>
      </c>
      <c r="I6" s="79"/>
      <c r="J6" s="1"/>
    </row>
    <row r="7" spans="1:10" ht="12.75">
      <c r="A7" s="77"/>
      <c r="B7" s="77"/>
      <c r="C7" s="78"/>
      <c r="D7" s="78"/>
      <c r="E7" s="78"/>
      <c r="F7" s="78"/>
      <c r="G7" s="78"/>
      <c r="H7" s="78"/>
      <c r="I7" s="79"/>
      <c r="J7" s="1"/>
    </row>
    <row r="8" spans="1:10" ht="12.75" customHeight="1">
      <c r="A8" s="77" t="s">
        <v>7</v>
      </c>
      <c r="B8" s="77"/>
      <c r="C8" s="78">
        <f>'Stavební rozpočet'!G4</f>
        <v>0</v>
      </c>
      <c r="D8" s="78"/>
      <c r="E8" s="78" t="s">
        <v>11</v>
      </c>
      <c r="F8" s="78" t="str">
        <f>'Stavební rozpočet'!G6</f>
        <v> </v>
      </c>
      <c r="G8" s="78"/>
      <c r="H8" s="80" t="s">
        <v>381</v>
      </c>
      <c r="I8" s="79" t="s">
        <v>315</v>
      </c>
      <c r="J8" s="1"/>
    </row>
    <row r="9" spans="1:10" ht="12.75">
      <c r="A9" s="77"/>
      <c r="B9" s="77"/>
      <c r="C9" s="78"/>
      <c r="D9" s="78"/>
      <c r="E9" s="78"/>
      <c r="F9" s="78"/>
      <c r="G9" s="78"/>
      <c r="H9" s="80"/>
      <c r="I9" s="79"/>
      <c r="J9" s="1"/>
    </row>
    <row r="10" spans="1:10" ht="12.75" customHeight="1">
      <c r="A10" s="81" t="s">
        <v>13</v>
      </c>
      <c r="B10" s="81"/>
      <c r="C10" s="82" t="str">
        <f>'Stavební rozpočet'!D8</f>
        <v> </v>
      </c>
      <c r="D10" s="82"/>
      <c r="E10" s="82" t="s">
        <v>15</v>
      </c>
      <c r="F10" s="82" t="str">
        <f>'Stavební rozpočet'!I8</f>
        <v> </v>
      </c>
      <c r="G10" s="82"/>
      <c r="H10" s="83" t="s">
        <v>382</v>
      </c>
      <c r="I10" s="84" t="str">
        <f>'Stavební rozpočet'!G8</f>
        <v>14.8.2020</v>
      </c>
      <c r="J10" s="1"/>
    </row>
    <row r="11" spans="1:10" ht="12.75">
      <c r="A11" s="81"/>
      <c r="B11" s="81"/>
      <c r="C11" s="82"/>
      <c r="D11" s="82"/>
      <c r="E11" s="82"/>
      <c r="F11" s="82"/>
      <c r="G11" s="82"/>
      <c r="H11" s="83"/>
      <c r="I11" s="84"/>
      <c r="J11" s="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" customHeight="1">
      <c r="A13" s="109" t="s">
        <v>424</v>
      </c>
      <c r="B13" s="109"/>
      <c r="C13" s="109"/>
      <c r="D13" s="109"/>
      <c r="E13" s="109"/>
      <c r="F13" s="62"/>
      <c r="G13" s="62"/>
      <c r="H13" s="62"/>
      <c r="I13" s="62"/>
    </row>
    <row r="14" spans="1:10" ht="12.75">
      <c r="A14" s="110" t="s">
        <v>425</v>
      </c>
      <c r="B14" s="110"/>
      <c r="C14" s="110"/>
      <c r="D14" s="110"/>
      <c r="E14" s="110"/>
      <c r="F14" s="63" t="s">
        <v>426</v>
      </c>
      <c r="G14" s="63" t="s">
        <v>301</v>
      </c>
      <c r="H14" s="63" t="s">
        <v>427</v>
      </c>
      <c r="I14" s="63" t="s">
        <v>426</v>
      </c>
      <c r="J14" s="8"/>
    </row>
    <row r="15" spans="1:10" ht="12.75">
      <c r="A15" s="111"/>
      <c r="B15" s="111"/>
      <c r="C15" s="111"/>
      <c r="D15" s="111"/>
      <c r="E15" s="111"/>
      <c r="F15" s="65"/>
      <c r="G15" s="64"/>
      <c r="H15" s="64"/>
      <c r="I15" s="65"/>
      <c r="J15" s="1"/>
    </row>
    <row r="16" spans="1:10" ht="12.75">
      <c r="A16" s="111"/>
      <c r="B16" s="111"/>
      <c r="C16" s="111"/>
      <c r="D16" s="111"/>
      <c r="E16" s="111"/>
      <c r="F16" s="65"/>
      <c r="G16" s="64"/>
      <c r="H16" s="64"/>
      <c r="I16" s="65"/>
      <c r="J16" s="1"/>
    </row>
    <row r="17" spans="1:10" ht="12.75">
      <c r="A17" s="112"/>
      <c r="B17" s="112"/>
      <c r="C17" s="112"/>
      <c r="D17" s="112"/>
      <c r="E17" s="112"/>
      <c r="F17" s="67"/>
      <c r="G17" s="66"/>
      <c r="H17" s="66"/>
      <c r="I17" s="67"/>
      <c r="J17" s="1"/>
    </row>
    <row r="18" spans="1:10" ht="12.75">
      <c r="A18" s="113"/>
      <c r="B18" s="113"/>
      <c r="C18" s="113"/>
      <c r="D18" s="113"/>
      <c r="E18" s="113"/>
      <c r="F18" s="68"/>
      <c r="G18" s="69"/>
      <c r="H18" s="69"/>
      <c r="I18" s="70">
        <f>SUM(I15:I17)</f>
        <v>0</v>
      </c>
      <c r="J18" s="8"/>
    </row>
    <row r="19" spans="1:9" ht="12.75">
      <c r="A19" s="71"/>
      <c r="B19" s="71"/>
      <c r="C19" s="71"/>
      <c r="D19" s="71"/>
      <c r="E19" s="71"/>
      <c r="F19" s="71"/>
      <c r="G19" s="71"/>
      <c r="H19" s="71"/>
      <c r="I19" s="71"/>
    </row>
    <row r="20" spans="1:10" ht="12.75">
      <c r="A20" s="110" t="s">
        <v>389</v>
      </c>
      <c r="B20" s="110"/>
      <c r="C20" s="110"/>
      <c r="D20" s="110"/>
      <c r="E20" s="110"/>
      <c r="F20" s="63" t="s">
        <v>426</v>
      </c>
      <c r="G20" s="63" t="s">
        <v>301</v>
      </c>
      <c r="H20" s="63" t="s">
        <v>427</v>
      </c>
      <c r="I20" s="63" t="s">
        <v>426</v>
      </c>
      <c r="J20" s="8"/>
    </row>
    <row r="21" spans="1:10" ht="12.75">
      <c r="A21" s="111" t="s">
        <v>393</v>
      </c>
      <c r="B21" s="111"/>
      <c r="C21" s="111"/>
      <c r="D21" s="111"/>
      <c r="E21" s="111"/>
      <c r="F21" s="64"/>
      <c r="G21" s="65">
        <v>1.5</v>
      </c>
      <c r="H21" s="65">
        <f>'Krycí list rozpočtu'!C22</f>
        <v>0</v>
      </c>
      <c r="I21" s="65">
        <f>ROUND((G21/100)*H21,2)</f>
        <v>0</v>
      </c>
      <c r="J21" s="1"/>
    </row>
    <row r="22" spans="1:10" ht="12.75">
      <c r="A22" s="111"/>
      <c r="B22" s="111"/>
      <c r="C22" s="111"/>
      <c r="D22" s="111"/>
      <c r="E22" s="111"/>
      <c r="F22" s="65"/>
      <c r="G22" s="64"/>
      <c r="H22" s="64"/>
      <c r="I22" s="65"/>
      <c r="J22" s="1"/>
    </row>
    <row r="23" spans="1:10" ht="12.75">
      <c r="A23" s="111"/>
      <c r="B23" s="111"/>
      <c r="C23" s="111"/>
      <c r="D23" s="111"/>
      <c r="E23" s="111"/>
      <c r="F23" s="65"/>
      <c r="G23" s="64"/>
      <c r="H23" s="64"/>
      <c r="I23" s="65"/>
      <c r="J23" s="1"/>
    </row>
    <row r="24" spans="1:10" ht="12.75">
      <c r="A24" s="111"/>
      <c r="B24" s="111"/>
      <c r="C24" s="111"/>
      <c r="D24" s="111"/>
      <c r="E24" s="111"/>
      <c r="F24" s="65"/>
      <c r="G24" s="64"/>
      <c r="H24" s="64"/>
      <c r="I24" s="65"/>
      <c r="J24" s="1"/>
    </row>
    <row r="25" spans="1:10" ht="12.75">
      <c r="A25" s="111" t="s">
        <v>433</v>
      </c>
      <c r="B25" s="111"/>
      <c r="C25" s="111"/>
      <c r="D25" s="111"/>
      <c r="E25" s="111"/>
      <c r="F25" s="65">
        <v>0</v>
      </c>
      <c r="G25" s="64"/>
      <c r="H25" s="64"/>
      <c r="I25" s="65">
        <f>F25</f>
        <v>0</v>
      </c>
      <c r="J25" s="1"/>
    </row>
    <row r="26" spans="1:10" ht="12.75">
      <c r="A26" s="112" t="s">
        <v>402</v>
      </c>
      <c r="B26" s="112"/>
      <c r="C26" s="112"/>
      <c r="D26" s="112"/>
      <c r="E26" s="112"/>
      <c r="F26" s="67"/>
      <c r="G26" s="66"/>
      <c r="H26" s="66"/>
      <c r="I26" s="67"/>
      <c r="J26" s="1"/>
    </row>
    <row r="27" spans="1:10" ht="12.75">
      <c r="A27" s="113" t="s">
        <v>428</v>
      </c>
      <c r="B27" s="113"/>
      <c r="C27" s="113"/>
      <c r="D27" s="113"/>
      <c r="E27" s="113"/>
      <c r="F27" s="68"/>
      <c r="G27" s="69"/>
      <c r="H27" s="69"/>
      <c r="I27" s="70">
        <f>SUM(I21:I26)</f>
        <v>0</v>
      </c>
      <c r="J27" s="8"/>
    </row>
    <row r="28" spans="1:9" ht="12.75">
      <c r="A28" s="71"/>
      <c r="B28" s="71"/>
      <c r="C28" s="71"/>
      <c r="D28" s="71"/>
      <c r="E28" s="71"/>
      <c r="F28" s="71"/>
      <c r="G28" s="71"/>
      <c r="H28" s="71"/>
      <c r="I28" s="71"/>
    </row>
    <row r="29" spans="1:10" ht="15" customHeight="1">
      <c r="A29" s="114" t="s">
        <v>429</v>
      </c>
      <c r="B29" s="114"/>
      <c r="C29" s="114"/>
      <c r="D29" s="114"/>
      <c r="E29" s="114"/>
      <c r="F29" s="115">
        <f>I18+I27</f>
        <v>0</v>
      </c>
      <c r="G29" s="115"/>
      <c r="H29" s="115"/>
      <c r="I29" s="115"/>
      <c r="J29" s="8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3" spans="1:9" ht="15" customHeight="1">
      <c r="A33" s="109" t="s">
        <v>430</v>
      </c>
      <c r="B33" s="109"/>
      <c r="C33" s="109"/>
      <c r="D33" s="109"/>
      <c r="E33" s="109"/>
      <c r="F33" s="62"/>
      <c r="G33" s="62"/>
      <c r="H33" s="62"/>
      <c r="I33" s="62"/>
    </row>
    <row r="34" spans="1:10" ht="12.75">
      <c r="A34" s="110" t="s">
        <v>431</v>
      </c>
      <c r="B34" s="110"/>
      <c r="C34" s="110"/>
      <c r="D34" s="110"/>
      <c r="E34" s="110"/>
      <c r="F34" s="63" t="s">
        <v>426</v>
      </c>
      <c r="G34" s="63" t="s">
        <v>301</v>
      </c>
      <c r="H34" s="63" t="s">
        <v>427</v>
      </c>
      <c r="I34" s="63" t="s">
        <v>426</v>
      </c>
      <c r="J34" s="8"/>
    </row>
    <row r="35" spans="1:10" ht="12.75">
      <c r="A35" s="112"/>
      <c r="B35" s="112"/>
      <c r="C35" s="112"/>
      <c r="D35" s="112"/>
      <c r="E35" s="112"/>
      <c r="F35" s="67">
        <v>0</v>
      </c>
      <c r="G35" s="66"/>
      <c r="H35" s="66"/>
      <c r="I35" s="67">
        <f>F35</f>
        <v>0</v>
      </c>
      <c r="J35" s="1"/>
    </row>
    <row r="36" spans="1:10" ht="12.75">
      <c r="A36" s="113" t="s">
        <v>432</v>
      </c>
      <c r="B36" s="113"/>
      <c r="C36" s="113"/>
      <c r="D36" s="113"/>
      <c r="E36" s="113"/>
      <c r="F36" s="68"/>
      <c r="G36" s="69"/>
      <c r="H36" s="69"/>
      <c r="I36" s="70">
        <f>SUM(I35:I35)</f>
        <v>0</v>
      </c>
      <c r="J36" s="8"/>
    </row>
    <row r="37" spans="1:9" ht="12.75">
      <c r="A37" s="61"/>
      <c r="B37" s="61"/>
      <c r="C37" s="61"/>
      <c r="D37" s="61"/>
      <c r="E37" s="61"/>
      <c r="F37" s="61"/>
      <c r="G37" s="61"/>
      <c r="H37" s="61"/>
      <c r="I37" s="61"/>
    </row>
  </sheetData>
  <sheetProtection selectLockedCells="1" selectUnlockedCells="1"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Užívatel</cp:lastModifiedBy>
  <dcterms:modified xsi:type="dcterms:W3CDTF">2020-08-26T06:13:52Z</dcterms:modified>
  <cp:category/>
  <cp:version/>
  <cp:contentType/>
  <cp:contentStatus/>
</cp:coreProperties>
</file>