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Petr Kotráš\Documents\Soubory aplikace Outlook\Dokumentace Rekonstrukce ZS TJ Slavoj\Výkazy výměr\"/>
    </mc:Choice>
  </mc:AlternateContent>
  <xr:revisionPtr revIDLastSave="0" documentId="8_{74AA72E0-6A54-472F-AC18-D39942E056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alkulace" sheetId="8" r:id="rId1"/>
  </sheets>
  <definedNames>
    <definedName name="_xlnm.Print_Titles" localSheetId="0">Kalkulace!$24:$25</definedName>
    <definedName name="_xlnm.Print_Area" localSheetId="0">Kalkulace!$A$1:$L$493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6" i="8" l="1"/>
  <c r="J426" i="8"/>
  <c r="L426" i="8" s="1"/>
  <c r="K423" i="8" l="1"/>
  <c r="K421" i="8"/>
  <c r="K104" i="8"/>
  <c r="J79" i="8"/>
  <c r="J83" i="8"/>
  <c r="K83" i="8"/>
  <c r="K425" i="8"/>
  <c r="K424" i="8"/>
  <c r="K78" i="8"/>
  <c r="K85" i="8"/>
  <c r="D114" i="8"/>
  <c r="K114" i="8"/>
  <c r="K116" i="8"/>
  <c r="K374" i="8"/>
  <c r="K428" i="8"/>
  <c r="K430" i="8" s="1"/>
  <c r="I4" i="8" s="1"/>
  <c r="K4" i="8" s="1"/>
  <c r="K343" i="8"/>
  <c r="K338" i="8"/>
  <c r="K336" i="8"/>
  <c r="K335" i="8"/>
  <c r="K304" i="8"/>
  <c r="K296" i="8"/>
  <c r="K250" i="8"/>
  <c r="K249" i="8"/>
  <c r="K237" i="8"/>
  <c r="K215" i="8"/>
  <c r="K214" i="8"/>
  <c r="K213" i="8"/>
  <c r="D423" i="8"/>
  <c r="D424" i="8"/>
  <c r="D425" i="8"/>
  <c r="D421" i="8"/>
  <c r="D403" i="8"/>
  <c r="D404" i="8"/>
  <c r="D405" i="8"/>
  <c r="D406" i="8"/>
  <c r="D407" i="8"/>
  <c r="D408" i="8"/>
  <c r="D409" i="8"/>
  <c r="D383" i="8"/>
  <c r="J383" i="8"/>
  <c r="K383" i="8"/>
  <c r="D353" i="8"/>
  <c r="D351" i="8"/>
  <c r="D349" i="8"/>
  <c r="D347" i="8"/>
  <c r="D345" i="8"/>
  <c r="E340" i="8"/>
  <c r="D339" i="8"/>
  <c r="E358" i="8"/>
  <c r="D315" i="8"/>
  <c r="D314" i="8"/>
  <c r="D330" i="8"/>
  <c r="D312" i="8"/>
  <c r="D313" i="8"/>
  <c r="D316" i="8"/>
  <c r="D310" i="8"/>
  <c r="D308" i="8"/>
  <c r="D311" i="8"/>
  <c r="E317" i="8"/>
  <c r="D309" i="8"/>
  <c r="D298" i="8"/>
  <c r="D295" i="8"/>
  <c r="D305" i="8"/>
  <c r="E305" i="8"/>
  <c r="F304" i="8"/>
  <c r="D370" i="8"/>
  <c r="D367" i="8"/>
  <c r="D368" i="8"/>
  <c r="D283" i="8"/>
  <c r="D280" i="8"/>
  <c r="D344" i="8"/>
  <c r="D286" i="8"/>
  <c r="D294" i="8"/>
  <c r="D292" i="8"/>
  <c r="D289" i="8"/>
  <c r="D282" i="8"/>
  <c r="D293" i="8"/>
  <c r="D284" i="8"/>
  <c r="D287" i="8"/>
  <c r="D290" i="8"/>
  <c r="F296" i="8"/>
  <c r="D288" i="8"/>
  <c r="D279" i="8"/>
  <c r="D364" i="8"/>
  <c r="D363" i="8"/>
  <c r="D361" i="8"/>
  <c r="D360" i="8"/>
  <c r="D281" i="8"/>
  <c r="D285" i="8"/>
  <c r="D297" i="8"/>
  <c r="D291" i="8"/>
  <c r="L383" i="8"/>
  <c r="K364" i="8"/>
  <c r="K360" i="8"/>
  <c r="K287" i="8"/>
  <c r="K289" i="8"/>
  <c r="K344" i="8"/>
  <c r="K305" i="8"/>
  <c r="K314" i="8"/>
  <c r="K311" i="8"/>
  <c r="K313" i="8"/>
  <c r="K361" i="8"/>
  <c r="K288" i="8"/>
  <c r="K284" i="8"/>
  <c r="K285" i="8"/>
  <c r="K363" i="8"/>
  <c r="K283" i="8"/>
  <c r="K298" i="8"/>
  <c r="K312" i="8"/>
  <c r="K286" i="8"/>
  <c r="F368" i="8"/>
  <c r="F291" i="8"/>
  <c r="K291" i="8"/>
  <c r="D318" i="8"/>
  <c r="K316" i="8"/>
  <c r="F297" i="8"/>
  <c r="K297" i="8"/>
  <c r="F292" i="8"/>
  <c r="K292" i="8"/>
  <c r="F370" i="8"/>
  <c r="K370" i="8"/>
  <c r="F295" i="8"/>
  <c r="K295" i="8"/>
  <c r="D317" i="8"/>
  <c r="K315" i="8"/>
  <c r="F293" i="8"/>
  <c r="K293" i="8"/>
  <c r="F294" i="8"/>
  <c r="K294" i="8"/>
  <c r="F290" i="8"/>
  <c r="K290" i="8"/>
  <c r="F330" i="8"/>
  <c r="K330" i="8"/>
  <c r="F339" i="8"/>
  <c r="K339" i="8"/>
  <c r="D340" i="8"/>
  <c r="D341" i="8"/>
  <c r="F316" i="8"/>
  <c r="J339" i="8"/>
  <c r="D332" i="8"/>
  <c r="D333" i="8"/>
  <c r="D334" i="8"/>
  <c r="J330" i="8"/>
  <c r="J316" i="8"/>
  <c r="F315" i="8"/>
  <c r="J317" i="8"/>
  <c r="J363" i="8"/>
  <c r="J315" i="8"/>
  <c r="J293" i="8"/>
  <c r="J298" i="8"/>
  <c r="F298" i="8"/>
  <c r="J295" i="8"/>
  <c r="F305" i="8"/>
  <c r="J305" i="8"/>
  <c r="J304" i="8"/>
  <c r="L304" i="8"/>
  <c r="J370" i="8"/>
  <c r="F367" i="8"/>
  <c r="K367" i="8"/>
  <c r="J367" i="8"/>
  <c r="K368" i="8"/>
  <c r="J368" i="8"/>
  <c r="J294" i="8"/>
  <c r="J292" i="8"/>
  <c r="L292" i="8"/>
  <c r="J290" i="8"/>
  <c r="J296" i="8"/>
  <c r="L296" i="8"/>
  <c r="J364" i="8"/>
  <c r="L364" i="8"/>
  <c r="F364" i="8"/>
  <c r="J361" i="8"/>
  <c r="F363" i="8"/>
  <c r="F361" i="8"/>
  <c r="F360" i="8"/>
  <c r="J360" i="8"/>
  <c r="J297" i="8"/>
  <c r="L297" i="8"/>
  <c r="J291" i="8"/>
  <c r="L291" i="8"/>
  <c r="L370" i="8"/>
  <c r="L315" i="8"/>
  <c r="L360" i="8"/>
  <c r="J318" i="8"/>
  <c r="J340" i="8"/>
  <c r="F317" i="8"/>
  <c r="L361" i="8"/>
  <c r="L294" i="8"/>
  <c r="L305" i="8"/>
  <c r="L363" i="8"/>
  <c r="L298" i="8"/>
  <c r="L330" i="8"/>
  <c r="F340" i="8"/>
  <c r="K317" i="8"/>
  <c r="L317" i="8"/>
  <c r="F333" i="8"/>
  <c r="K333" i="8"/>
  <c r="L316" i="8"/>
  <c r="F332" i="8"/>
  <c r="K332" i="8"/>
  <c r="F341" i="8"/>
  <c r="K341" i="8"/>
  <c r="F318" i="8"/>
  <c r="K318" i="8"/>
  <c r="L293" i="8"/>
  <c r="L339" i="8"/>
  <c r="L290" i="8"/>
  <c r="L295" i="8"/>
  <c r="F334" i="8"/>
  <c r="K334" i="8"/>
  <c r="D342" i="8"/>
  <c r="K340" i="8"/>
  <c r="L340" i="8"/>
  <c r="J341" i="8"/>
  <c r="L341" i="8"/>
  <c r="J334" i="8"/>
  <c r="J332" i="8"/>
  <c r="J333" i="8"/>
  <c r="L368" i="8"/>
  <c r="L367" i="8"/>
  <c r="L333" i="8"/>
  <c r="L332" i="8"/>
  <c r="J342" i="8"/>
  <c r="L318" i="8"/>
  <c r="L334" i="8"/>
  <c r="F342" i="8"/>
  <c r="K342" i="8"/>
  <c r="L342" i="8"/>
  <c r="D327" i="8"/>
  <c r="D328" i="8"/>
  <c r="E328" i="8"/>
  <c r="D325" i="8"/>
  <c r="E326" i="8"/>
  <c r="D350" i="8"/>
  <c r="F344" i="8"/>
  <c r="F288" i="8"/>
  <c r="F287" i="8"/>
  <c r="F284" i="8"/>
  <c r="F283" i="8"/>
  <c r="D299" i="8"/>
  <c r="E279" i="8"/>
  <c r="D301" i="8"/>
  <c r="D300" i="8"/>
  <c r="D302" i="8"/>
  <c r="K301" i="8"/>
  <c r="K302" i="8"/>
  <c r="F327" i="8"/>
  <c r="K300" i="8"/>
  <c r="F328" i="8"/>
  <c r="D326" i="8"/>
  <c r="F326" i="8"/>
  <c r="K325" i="8"/>
  <c r="F299" i="8"/>
  <c r="K299" i="8"/>
  <c r="F350" i="8"/>
  <c r="K350" i="8"/>
  <c r="F325" i="8"/>
  <c r="J327" i="8"/>
  <c r="K327" i="8"/>
  <c r="K328" i="8"/>
  <c r="J328" i="8"/>
  <c r="L328" i="8"/>
  <c r="J325" i="8"/>
  <c r="J350" i="8"/>
  <c r="J344" i="8"/>
  <c r="L344" i="8"/>
  <c r="F279" i="8"/>
  <c r="J288" i="8"/>
  <c r="L288" i="8"/>
  <c r="J287" i="8"/>
  <c r="L287" i="8"/>
  <c r="J284" i="8"/>
  <c r="L284" i="8"/>
  <c r="J283" i="8"/>
  <c r="L283" i="8"/>
  <c r="J279" i="8"/>
  <c r="J299" i="8"/>
  <c r="K279" i="8"/>
  <c r="L350" i="8"/>
  <c r="L325" i="8"/>
  <c r="J326" i="8"/>
  <c r="K326" i="8"/>
  <c r="L299" i="8"/>
  <c r="L327" i="8"/>
  <c r="L279" i="8"/>
  <c r="L326" i="8"/>
  <c r="D273" i="8"/>
  <c r="D267" i="8"/>
  <c r="D266" i="8"/>
  <c r="D276" i="8"/>
  <c r="D275" i="8"/>
  <c r="D274" i="8"/>
  <c r="D269" i="8"/>
  <c r="D268" i="8"/>
  <c r="E268" i="8"/>
  <c r="D270" i="8"/>
  <c r="D271" i="8"/>
  <c r="D272" i="8"/>
  <c r="D265" i="8"/>
  <c r="D264" i="8"/>
  <c r="K272" i="8"/>
  <c r="K271" i="8"/>
  <c r="F272" i="8"/>
  <c r="F270" i="8"/>
  <c r="K270" i="8"/>
  <c r="F268" i="8"/>
  <c r="J268" i="8"/>
  <c r="K268" i="8"/>
  <c r="J270" i="8"/>
  <c r="L270" i="8"/>
  <c r="J272" i="8"/>
  <c r="L272" i="8"/>
  <c r="F264" i="8"/>
  <c r="K264" i="8"/>
  <c r="L268" i="8"/>
  <c r="J264" i="8"/>
  <c r="L264" i="8"/>
  <c r="D259" i="8"/>
  <c r="D261" i="8"/>
  <c r="D258" i="8"/>
  <c r="J258" i="8"/>
  <c r="D257" i="8"/>
  <c r="D256" i="8"/>
  <c r="D255" i="8"/>
  <c r="E258" i="8"/>
  <c r="D260" i="8"/>
  <c r="F258" i="8"/>
  <c r="K258" i="8"/>
  <c r="L258" i="8"/>
  <c r="F257" i="8"/>
  <c r="K257" i="8"/>
  <c r="D230" i="8"/>
  <c r="D221" i="8"/>
  <c r="D240" i="8"/>
  <c r="D227" i="8"/>
  <c r="D218" i="8"/>
  <c r="D235" i="8"/>
  <c r="E235" i="8"/>
  <c r="D236" i="8"/>
  <c r="E236" i="8"/>
  <c r="D239" i="8"/>
  <c r="E239" i="8"/>
  <c r="K236" i="8"/>
  <c r="K235" i="8"/>
  <c r="F236" i="8"/>
  <c r="J257" i="8"/>
  <c r="L257" i="8"/>
  <c r="F235" i="8"/>
  <c r="J235" i="8"/>
  <c r="J236" i="8"/>
  <c r="K239" i="8"/>
  <c r="F239" i="8"/>
  <c r="J239" i="8"/>
  <c r="L235" i="8"/>
  <c r="L236" i="8"/>
  <c r="L239" i="8"/>
  <c r="D228" i="8"/>
  <c r="D219" i="8"/>
  <c r="D231" i="8"/>
  <c r="D222" i="8"/>
  <c r="D242" i="8"/>
  <c r="D234" i="8"/>
  <c r="D233" i="8"/>
  <c r="D225" i="8"/>
  <c r="F249" i="8"/>
  <c r="D229" i="8"/>
  <c r="D252" i="8"/>
  <c r="D251" i="8"/>
  <c r="D246" i="8"/>
  <c r="D224" i="8"/>
  <c r="D220" i="8"/>
  <c r="D244" i="8"/>
  <c r="D186" i="8"/>
  <c r="D176" i="8"/>
  <c r="D248" i="8"/>
  <c r="D226" i="8"/>
  <c r="D243" i="8"/>
  <c r="D232" i="8"/>
  <c r="D223" i="8"/>
  <c r="J237" i="8"/>
  <c r="L237" i="8"/>
  <c r="E237" i="8"/>
  <c r="F237" i="8"/>
  <c r="D241" i="8"/>
  <c r="D238" i="8"/>
  <c r="D245" i="8"/>
  <c r="D247" i="8"/>
  <c r="D180" i="8"/>
  <c r="D183" i="8"/>
  <c r="D182" i="8"/>
  <c r="D181" i="8"/>
  <c r="D179" i="8"/>
  <c r="D178" i="8"/>
  <c r="D174" i="8"/>
  <c r="K244" i="8"/>
  <c r="K251" i="8"/>
  <c r="K238" i="8"/>
  <c r="K248" i="8"/>
  <c r="K252" i="8"/>
  <c r="K245" i="8"/>
  <c r="K247" i="8"/>
  <c r="K246" i="8"/>
  <c r="D417" i="8"/>
  <c r="J249" i="8"/>
  <c r="L249" i="8"/>
  <c r="D444" i="8"/>
  <c r="D445" i="8"/>
  <c r="D449" i="8"/>
  <c r="D448" i="8"/>
  <c r="J458" i="8"/>
  <c r="J459" i="8"/>
  <c r="F459" i="8"/>
  <c r="F458" i="8"/>
  <c r="D187" i="8"/>
  <c r="D194" i="8"/>
  <c r="D188" i="8"/>
  <c r="D195" i="8"/>
  <c r="D210" i="8"/>
  <c r="D175" i="8"/>
  <c r="D200" i="8"/>
  <c r="E200" i="8"/>
  <c r="D177" i="8"/>
  <c r="D212" i="8"/>
  <c r="D199" i="8"/>
  <c r="E199" i="8"/>
  <c r="D184" i="8"/>
  <c r="D193" i="8"/>
  <c r="E193" i="8"/>
  <c r="D185" i="8"/>
  <c r="D207" i="8"/>
  <c r="D202" i="8"/>
  <c r="D190" i="8"/>
  <c r="D189" i="8"/>
  <c r="K207" i="8"/>
  <c r="K210" i="8"/>
  <c r="D454" i="8"/>
  <c r="K195" i="8"/>
  <c r="K199" i="8"/>
  <c r="K417" i="8"/>
  <c r="K212" i="8"/>
  <c r="K194" i="8"/>
  <c r="D455" i="8"/>
  <c r="E415" i="8"/>
  <c r="D416" i="8"/>
  <c r="K459" i="8"/>
  <c r="L459" i="8"/>
  <c r="K458" i="8"/>
  <c r="L458" i="8"/>
  <c r="K193" i="8"/>
  <c r="F200" i="8"/>
  <c r="F199" i="8"/>
  <c r="J200" i="8"/>
  <c r="F193" i="8"/>
  <c r="K200" i="8"/>
  <c r="J199" i="8"/>
  <c r="L199" i="8"/>
  <c r="F184" i="8"/>
  <c r="K184" i="8"/>
  <c r="J193" i="8"/>
  <c r="D209" i="8"/>
  <c r="D196" i="8"/>
  <c r="D192" i="8"/>
  <c r="E192" i="8"/>
  <c r="D205" i="8"/>
  <c r="E205" i="8"/>
  <c r="D201" i="8"/>
  <c r="E201" i="8"/>
  <c r="K192" i="8"/>
  <c r="K209" i="8"/>
  <c r="K416" i="8"/>
  <c r="K196" i="8"/>
  <c r="K205" i="8"/>
  <c r="L200" i="8"/>
  <c r="F192" i="8"/>
  <c r="L193" i="8"/>
  <c r="F201" i="8"/>
  <c r="F205" i="8"/>
  <c r="K201" i="8"/>
  <c r="J184" i="8"/>
  <c r="L184" i="8"/>
  <c r="J192" i="8"/>
  <c r="J205" i="8"/>
  <c r="J201" i="8"/>
  <c r="L192" i="8"/>
  <c r="L205" i="8"/>
  <c r="L201" i="8"/>
  <c r="D198" i="8"/>
  <c r="D211" i="8"/>
  <c r="D206" i="8"/>
  <c r="D191" i="8"/>
  <c r="K211" i="8"/>
  <c r="K198" i="8"/>
  <c r="D203" i="8"/>
  <c r="E203" i="8"/>
  <c r="F203" i="8"/>
  <c r="D204" i="8"/>
  <c r="D197" i="8"/>
  <c r="D152" i="8"/>
  <c r="D165" i="8"/>
  <c r="D163" i="8"/>
  <c r="D161" i="8"/>
  <c r="E161" i="8"/>
  <c r="K197" i="8"/>
  <c r="D162" i="8"/>
  <c r="F161" i="8"/>
  <c r="D166" i="8"/>
  <c r="J161" i="8"/>
  <c r="J203" i="8"/>
  <c r="K203" i="8"/>
  <c r="F175" i="8"/>
  <c r="K175" i="8"/>
  <c r="K161" i="8"/>
  <c r="L161" i="8"/>
  <c r="L203" i="8"/>
  <c r="J162" i="8"/>
  <c r="F162" i="8"/>
  <c r="K162" i="8"/>
  <c r="J175" i="8"/>
  <c r="L175" i="8"/>
  <c r="L162" i="8"/>
  <c r="D164" i="8"/>
  <c r="K163" i="8"/>
  <c r="F163" i="8"/>
  <c r="F164" i="8"/>
  <c r="J164" i="8"/>
  <c r="K164" i="8"/>
  <c r="J163" i="8"/>
  <c r="L163" i="8"/>
  <c r="L164" i="8"/>
  <c r="D159" i="8"/>
  <c r="D157" i="8"/>
  <c r="D160" i="8"/>
  <c r="F157" i="8"/>
  <c r="J157" i="8"/>
  <c r="D158" i="8"/>
  <c r="K157" i="8"/>
  <c r="L157" i="8"/>
  <c r="K158" i="8"/>
  <c r="F158" i="8"/>
  <c r="J158" i="8"/>
  <c r="L158" i="8"/>
  <c r="D153" i="8"/>
  <c r="D156" i="8"/>
  <c r="D155" i="8"/>
  <c r="D154" i="8"/>
  <c r="D167" i="8"/>
  <c r="D151" i="8"/>
  <c r="D150" i="8"/>
  <c r="D418" i="8"/>
  <c r="K418" i="8"/>
  <c r="J418" i="8"/>
  <c r="L418" i="8"/>
  <c r="D127" i="8"/>
  <c r="F426" i="8"/>
  <c r="D437" i="8"/>
  <c r="D438" i="8"/>
  <c r="D102" i="8"/>
  <c r="D95" i="8"/>
  <c r="D96" i="8"/>
  <c r="D143" i="8"/>
  <c r="D142" i="8"/>
  <c r="D141" i="8"/>
  <c r="D140" i="8"/>
  <c r="D139" i="8"/>
  <c r="D138" i="8"/>
  <c r="D137" i="8"/>
  <c r="D135" i="8"/>
  <c r="D134" i="8"/>
  <c r="D133" i="8"/>
  <c r="D132" i="8"/>
  <c r="D131" i="8"/>
  <c r="D130" i="8"/>
  <c r="D129" i="8"/>
  <c r="D128" i="8"/>
  <c r="F127" i="8"/>
  <c r="D126" i="8"/>
  <c r="D125" i="8"/>
  <c r="D124" i="8"/>
  <c r="D122" i="8"/>
  <c r="D121" i="8"/>
  <c r="D119" i="8"/>
  <c r="D136" i="8"/>
  <c r="D123" i="8"/>
  <c r="K127" i="8"/>
  <c r="J127" i="8"/>
  <c r="L127" i="8"/>
  <c r="D38" i="8"/>
  <c r="D37" i="8"/>
  <c r="J36" i="8"/>
  <c r="F36" i="8"/>
  <c r="J38" i="8"/>
  <c r="F38" i="8"/>
  <c r="K38" i="8"/>
  <c r="J37" i="8"/>
  <c r="F37" i="8"/>
  <c r="K37" i="8"/>
  <c r="K36" i="8"/>
  <c r="L36" i="8"/>
  <c r="D83" i="8"/>
  <c r="J82" i="8"/>
  <c r="F82" i="8"/>
  <c r="K82" i="8"/>
  <c r="L82" i="8"/>
  <c r="L38" i="8"/>
  <c r="L37" i="8"/>
  <c r="F83" i="8"/>
  <c r="L83" i="8"/>
  <c r="D80" i="8"/>
  <c r="K80" i="8"/>
  <c r="J53" i="8"/>
  <c r="F53" i="8"/>
  <c r="J155" i="8"/>
  <c r="F155" i="8"/>
  <c r="K155" i="8"/>
  <c r="L155" i="8"/>
  <c r="K53" i="8"/>
  <c r="L53" i="8"/>
  <c r="J48" i="8"/>
  <c r="F48" i="8"/>
  <c r="K48" i="8"/>
  <c r="L48" i="8"/>
  <c r="B491" i="8"/>
  <c r="A491" i="8"/>
  <c r="K436" i="8"/>
  <c r="J436" i="8"/>
  <c r="F436" i="8"/>
  <c r="K435" i="8"/>
  <c r="F435" i="8"/>
  <c r="L436" i="8"/>
  <c r="J435" i="8"/>
  <c r="L435" i="8"/>
  <c r="J31" i="8"/>
  <c r="F31" i="8"/>
  <c r="K31" i="8"/>
  <c r="L31" i="8"/>
  <c r="D369" i="8"/>
  <c r="F369" i="8"/>
  <c r="K369" i="8"/>
  <c r="J369" i="8"/>
  <c r="L369" i="8"/>
  <c r="F425" i="8"/>
  <c r="F424" i="8"/>
  <c r="F423" i="8"/>
  <c r="F421" i="8"/>
  <c r="J425" i="8"/>
  <c r="L425" i="8"/>
  <c r="J423" i="8"/>
  <c r="L423" i="8"/>
  <c r="J424" i="8"/>
  <c r="L424" i="8"/>
  <c r="J421" i="8"/>
  <c r="L421" i="8"/>
  <c r="E308" i="8"/>
  <c r="J308" i="8"/>
  <c r="K308" i="8"/>
  <c r="F308" i="8"/>
  <c r="L308" i="8"/>
  <c r="D76" i="8"/>
  <c r="E145" i="8"/>
  <c r="D145" i="8"/>
  <c r="K145" i="8"/>
  <c r="J145" i="8"/>
  <c r="F145" i="8"/>
  <c r="D144" i="8"/>
  <c r="F143" i="8"/>
  <c r="K143" i="8"/>
  <c r="L145" i="8"/>
  <c r="K144" i="8"/>
  <c r="J144" i="8"/>
  <c r="L144" i="8"/>
  <c r="F144" i="8"/>
  <c r="F101" i="8"/>
  <c r="K100" i="8"/>
  <c r="F100" i="8"/>
  <c r="K101" i="8"/>
  <c r="D380" i="8"/>
  <c r="E154" i="8"/>
  <c r="F154" i="8"/>
  <c r="D357" i="8"/>
  <c r="D358" i="8"/>
  <c r="D355" i="8"/>
  <c r="D356" i="8"/>
  <c r="D354" i="8"/>
  <c r="D352" i="8"/>
  <c r="D348" i="8"/>
  <c r="D346" i="8"/>
  <c r="D337" i="8"/>
  <c r="F335" i="8"/>
  <c r="D331" i="8"/>
  <c r="K358" i="8"/>
  <c r="K354" i="8"/>
  <c r="K331" i="8"/>
  <c r="K352" i="8"/>
  <c r="K346" i="8"/>
  <c r="K356" i="8"/>
  <c r="F348" i="8"/>
  <c r="K348" i="8"/>
  <c r="F337" i="8"/>
  <c r="K337" i="8"/>
  <c r="F358" i="8"/>
  <c r="J358" i="8"/>
  <c r="L358" i="8"/>
  <c r="F356" i="8"/>
  <c r="J356" i="8"/>
  <c r="L356" i="8"/>
  <c r="F354" i="8"/>
  <c r="J354" i="8"/>
  <c r="F352" i="8"/>
  <c r="J352" i="8"/>
  <c r="J154" i="8"/>
  <c r="J331" i="8"/>
  <c r="L331" i="8"/>
  <c r="F331" i="8"/>
  <c r="K154" i="8"/>
  <c r="J335" i="8"/>
  <c r="L335" i="8"/>
  <c r="J348" i="8"/>
  <c r="L348" i="8"/>
  <c r="F346" i="8"/>
  <c r="J346" i="8"/>
  <c r="L346" i="8"/>
  <c r="J337" i="8"/>
  <c r="L354" i="8"/>
  <c r="L352" i="8"/>
  <c r="L337" i="8"/>
  <c r="L154" i="8"/>
  <c r="F286" i="8"/>
  <c r="F313" i="8"/>
  <c r="D389" i="8"/>
  <c r="F314" i="8"/>
  <c r="F312" i="8"/>
  <c r="F311" i="8"/>
  <c r="J310" i="8"/>
  <c r="E310" i="8"/>
  <c r="E309" i="8"/>
  <c r="D388" i="8"/>
  <c r="F302" i="8"/>
  <c r="D303" i="8"/>
  <c r="F285" i="8"/>
  <c r="E282" i="8"/>
  <c r="E281" i="8"/>
  <c r="E280" i="8"/>
  <c r="F303" i="8"/>
  <c r="K303" i="8"/>
  <c r="D387" i="8"/>
  <c r="D319" i="8"/>
  <c r="J282" i="8"/>
  <c r="D320" i="8"/>
  <c r="J309" i="8"/>
  <c r="D321" i="8"/>
  <c r="J311" i="8"/>
  <c r="L311" i="8"/>
  <c r="J312" i="8"/>
  <c r="L312" i="8"/>
  <c r="J313" i="8"/>
  <c r="L313" i="8"/>
  <c r="J314" i="8"/>
  <c r="L314" i="8"/>
  <c r="F310" i="8"/>
  <c r="K310" i="8"/>
  <c r="L310" i="8"/>
  <c r="F309" i="8"/>
  <c r="K309" i="8"/>
  <c r="J280" i="8"/>
  <c r="F282" i="8"/>
  <c r="K282" i="8"/>
  <c r="F289" i="8"/>
  <c r="J281" i="8"/>
  <c r="F281" i="8"/>
  <c r="K281" i="8"/>
  <c r="J285" i="8"/>
  <c r="L285" i="8"/>
  <c r="J286" i="8"/>
  <c r="L286" i="8"/>
  <c r="J289" i="8"/>
  <c r="L289" i="8"/>
  <c r="J302" i="8"/>
  <c r="L302" i="8"/>
  <c r="J303" i="8"/>
  <c r="L303" i="8"/>
  <c r="F280" i="8"/>
  <c r="K280" i="8"/>
  <c r="K321" i="8"/>
  <c r="F319" i="8"/>
  <c r="K319" i="8"/>
  <c r="F320" i="8"/>
  <c r="K320" i="8"/>
  <c r="J319" i="8"/>
  <c r="L280" i="8"/>
  <c r="L282" i="8"/>
  <c r="J320" i="8"/>
  <c r="L320" i="8"/>
  <c r="L309" i="8"/>
  <c r="F321" i="8"/>
  <c r="J321" i="8"/>
  <c r="F301" i="8"/>
  <c r="J301" i="8"/>
  <c r="L301" i="8"/>
  <c r="F300" i="8"/>
  <c r="J300" i="8"/>
  <c r="L300" i="8"/>
  <c r="L281" i="8"/>
  <c r="L321" i="8"/>
  <c r="L319" i="8"/>
  <c r="J380" i="8"/>
  <c r="K380" i="8"/>
  <c r="L380" i="8"/>
  <c r="J455" i="8"/>
  <c r="K455" i="8"/>
  <c r="L455" i="8"/>
  <c r="B489" i="8"/>
  <c r="F52" i="8"/>
  <c r="F51" i="8"/>
  <c r="J51" i="8"/>
  <c r="K52" i="8"/>
  <c r="J52" i="8"/>
  <c r="K51" i="8"/>
  <c r="L52" i="8"/>
  <c r="L51" i="8"/>
  <c r="F49" i="8"/>
  <c r="J49" i="8"/>
  <c r="K49" i="8"/>
  <c r="L49" i="8"/>
  <c r="E42" i="8"/>
  <c r="F42" i="8"/>
  <c r="F75" i="8"/>
  <c r="J42" i="8"/>
  <c r="K42" i="8"/>
  <c r="K75" i="8"/>
  <c r="L42" i="8"/>
  <c r="E32" i="8"/>
  <c r="F32" i="8"/>
  <c r="K32" i="8"/>
  <c r="J32" i="8"/>
  <c r="L32" i="8"/>
  <c r="F66" i="8"/>
  <c r="F63" i="8"/>
  <c r="E269" i="8"/>
  <c r="J269" i="8"/>
  <c r="F269" i="8"/>
  <c r="K269" i="8"/>
  <c r="L269" i="8"/>
  <c r="F409" i="8"/>
  <c r="J408" i="8"/>
  <c r="F408" i="8"/>
  <c r="F407" i="8"/>
  <c r="F406" i="8"/>
  <c r="J405" i="8"/>
  <c r="F405" i="8"/>
  <c r="F404" i="8"/>
  <c r="K403" i="8"/>
  <c r="F403" i="8"/>
  <c r="J384" i="8"/>
  <c r="K384" i="8"/>
  <c r="L384" i="8"/>
  <c r="K382" i="8"/>
  <c r="J382" i="8"/>
  <c r="J407" i="8"/>
  <c r="K405" i="8"/>
  <c r="L405" i="8"/>
  <c r="K406" i="8"/>
  <c r="J403" i="8"/>
  <c r="L403" i="8"/>
  <c r="K408" i="8"/>
  <c r="L408" i="8"/>
  <c r="J404" i="8"/>
  <c r="K409" i="8"/>
  <c r="K404" i="8"/>
  <c r="J406" i="8"/>
  <c r="K407" i="8"/>
  <c r="J409" i="8"/>
  <c r="L407" i="8"/>
  <c r="L406" i="8"/>
  <c r="L382" i="8"/>
  <c r="L404" i="8"/>
  <c r="L409" i="8"/>
  <c r="F275" i="8"/>
  <c r="F274" i="8"/>
  <c r="F273" i="8"/>
  <c r="F271" i="8"/>
  <c r="E267" i="8"/>
  <c r="K260" i="8"/>
  <c r="K259" i="8"/>
  <c r="E266" i="8"/>
  <c r="E256" i="8"/>
  <c r="D390" i="8"/>
  <c r="F388" i="8"/>
  <c r="K388" i="8"/>
  <c r="J388" i="8"/>
  <c r="F389" i="8"/>
  <c r="J389" i="8"/>
  <c r="K389" i="8"/>
  <c r="J260" i="8"/>
  <c r="L260" i="8"/>
  <c r="F267" i="8"/>
  <c r="F259" i="8"/>
  <c r="K276" i="8"/>
  <c r="K273" i="8"/>
  <c r="J276" i="8"/>
  <c r="K267" i="8"/>
  <c r="J266" i="8"/>
  <c r="J259" i="8"/>
  <c r="L259" i="8"/>
  <c r="F261" i="8"/>
  <c r="F266" i="8"/>
  <c r="F276" i="8"/>
  <c r="J267" i="8"/>
  <c r="K261" i="8"/>
  <c r="J261" i="8"/>
  <c r="F260" i="8"/>
  <c r="J273" i="8"/>
  <c r="J275" i="8"/>
  <c r="J271" i="8"/>
  <c r="L271" i="8"/>
  <c r="J274" i="8"/>
  <c r="K266" i="8"/>
  <c r="K275" i="8"/>
  <c r="K274" i="8"/>
  <c r="F265" i="8"/>
  <c r="K265" i="8"/>
  <c r="F256" i="8"/>
  <c r="K256" i="8"/>
  <c r="K255" i="8"/>
  <c r="F255" i="8"/>
  <c r="J255" i="8"/>
  <c r="J256" i="8"/>
  <c r="L256" i="8"/>
  <c r="J387" i="8"/>
  <c r="K387" i="8"/>
  <c r="F387" i="8"/>
  <c r="L388" i="8"/>
  <c r="L389" i="8"/>
  <c r="F390" i="8"/>
  <c r="K390" i="8"/>
  <c r="J390" i="8"/>
  <c r="L273" i="8"/>
  <c r="L261" i="8"/>
  <c r="L276" i="8"/>
  <c r="L266" i="8"/>
  <c r="L267" i="8"/>
  <c r="L255" i="8"/>
  <c r="L275" i="8"/>
  <c r="J265" i="8"/>
  <c r="L265" i="8"/>
  <c r="L274" i="8"/>
  <c r="L387" i="8"/>
  <c r="L390" i="8"/>
  <c r="D399" i="8"/>
  <c r="D394" i="8"/>
  <c r="D395" i="8"/>
  <c r="F395" i="8"/>
  <c r="K395" i="8"/>
  <c r="J395" i="8"/>
  <c r="F394" i="8"/>
  <c r="K394" i="8"/>
  <c r="J394" i="8"/>
  <c r="F399" i="8"/>
  <c r="J399" i="8"/>
  <c r="K399" i="8"/>
  <c r="D396" i="8"/>
  <c r="D397" i="8"/>
  <c r="E242" i="8"/>
  <c r="E244" i="8"/>
  <c r="E238" i="8"/>
  <c r="E241" i="8"/>
  <c r="D398" i="8"/>
  <c r="D401" i="8"/>
  <c r="D400" i="8"/>
  <c r="E195" i="8"/>
  <c r="E196" i="8"/>
  <c r="E209" i="8"/>
  <c r="D393" i="8"/>
  <c r="L395" i="8"/>
  <c r="L399" i="8"/>
  <c r="L394" i="8"/>
  <c r="F400" i="8"/>
  <c r="K400" i="8"/>
  <c r="J400" i="8"/>
  <c r="F398" i="8"/>
  <c r="J398" i="8"/>
  <c r="K398" i="8"/>
  <c r="F401" i="8"/>
  <c r="J401" i="8"/>
  <c r="K401" i="8"/>
  <c r="F397" i="8"/>
  <c r="K397" i="8"/>
  <c r="J397" i="8"/>
  <c r="F396" i="8"/>
  <c r="J396" i="8"/>
  <c r="K396" i="8"/>
  <c r="F241" i="8"/>
  <c r="F238" i="8"/>
  <c r="F196" i="8"/>
  <c r="J196" i="8"/>
  <c r="L196" i="8"/>
  <c r="J209" i="8"/>
  <c r="L209" i="8"/>
  <c r="J195" i="8"/>
  <c r="L195" i="8"/>
  <c r="F209" i="8"/>
  <c r="F244" i="8"/>
  <c r="F242" i="8"/>
  <c r="K242" i="8"/>
  <c r="J242" i="8"/>
  <c r="J244" i="8"/>
  <c r="L244" i="8"/>
  <c r="J238" i="8"/>
  <c r="L238" i="8"/>
  <c r="K241" i="8"/>
  <c r="J241" i="8"/>
  <c r="F195" i="8"/>
  <c r="E197" i="8"/>
  <c r="E198" i="8"/>
  <c r="E194" i="8"/>
  <c r="J393" i="8"/>
  <c r="J411" i="8"/>
  <c r="F393" i="8"/>
  <c r="K393" i="8"/>
  <c r="L401" i="8"/>
  <c r="L397" i="8"/>
  <c r="L396" i="8"/>
  <c r="L398" i="8"/>
  <c r="L400" i="8"/>
  <c r="J197" i="8"/>
  <c r="L197" i="8"/>
  <c r="L242" i="8"/>
  <c r="F194" i="8"/>
  <c r="J198" i="8"/>
  <c r="L198" i="8"/>
  <c r="F215" i="8"/>
  <c r="F197" i="8"/>
  <c r="L241" i="8"/>
  <c r="F198" i="8"/>
  <c r="J215" i="8"/>
  <c r="L215" i="8"/>
  <c r="J194" i="8"/>
  <c r="L194" i="8"/>
  <c r="L393" i="8"/>
  <c r="K411" i="8"/>
  <c r="K240" i="8"/>
  <c r="E240" i="8"/>
  <c r="F240" i="8"/>
  <c r="J207" i="8"/>
  <c r="L207" i="8"/>
  <c r="E210" i="8"/>
  <c r="F210" i="8"/>
  <c r="J240" i="8"/>
  <c r="L240" i="8"/>
  <c r="F207" i="8"/>
  <c r="J210" i="8"/>
  <c r="L210" i="8"/>
  <c r="F167" i="8"/>
  <c r="K167" i="8"/>
  <c r="J167" i="8"/>
  <c r="L167" i="8"/>
  <c r="F156" i="8"/>
  <c r="K165" i="8"/>
  <c r="E165" i="8"/>
  <c r="F165" i="8"/>
  <c r="K156" i="8"/>
  <c r="J166" i="8"/>
  <c r="F166" i="8"/>
  <c r="J156" i="8"/>
  <c r="J165" i="8"/>
  <c r="L165" i="8"/>
  <c r="K166" i="8"/>
  <c r="L156" i="8"/>
  <c r="L166" i="8"/>
  <c r="F159" i="8"/>
  <c r="J153" i="8"/>
  <c r="E153" i="8"/>
  <c r="J152" i="8"/>
  <c r="E152" i="8"/>
  <c r="D103" i="8"/>
  <c r="K103" i="8"/>
  <c r="F153" i="8"/>
  <c r="F152" i="8"/>
  <c r="F160" i="8"/>
  <c r="K159" i="8"/>
  <c r="J159" i="8"/>
  <c r="K152" i="8"/>
  <c r="L152" i="8"/>
  <c r="K153" i="8"/>
  <c r="L153" i="8"/>
  <c r="L159" i="8"/>
  <c r="J160" i="8"/>
  <c r="K160" i="8"/>
  <c r="L160" i="8"/>
  <c r="F142" i="8"/>
  <c r="F134" i="8"/>
  <c r="F123" i="8"/>
  <c r="F135" i="8"/>
  <c r="F130" i="8"/>
  <c r="F129" i="8"/>
  <c r="F126" i="8"/>
  <c r="F124" i="8"/>
  <c r="F121" i="8"/>
  <c r="K121" i="8"/>
  <c r="K142" i="8"/>
  <c r="K125" i="8"/>
  <c r="J142" i="8"/>
  <c r="F140" i="8"/>
  <c r="K140" i="8"/>
  <c r="F141" i="8"/>
  <c r="K141" i="8"/>
  <c r="F137" i="8"/>
  <c r="K137" i="8"/>
  <c r="F138" i="8"/>
  <c r="K138" i="8"/>
  <c r="F139" i="8"/>
  <c r="K139" i="8"/>
  <c r="K134" i="8"/>
  <c r="F133" i="8"/>
  <c r="K133" i="8"/>
  <c r="F136" i="8"/>
  <c r="K136" i="8"/>
  <c r="K129" i="8"/>
  <c r="K135" i="8"/>
  <c r="K124" i="8"/>
  <c r="K131" i="8"/>
  <c r="K132" i="8"/>
  <c r="F132" i="8"/>
  <c r="F131" i="8"/>
  <c r="F128" i="8"/>
  <c r="K128" i="8"/>
  <c r="F125" i="8"/>
  <c r="K123" i="8"/>
  <c r="K126" i="8"/>
  <c r="K130" i="8"/>
  <c r="L142" i="8"/>
  <c r="D89" i="8"/>
  <c r="D109" i="8"/>
  <c r="D112" i="8"/>
  <c r="E114" i="8"/>
  <c r="E113" i="8"/>
  <c r="F111" i="8"/>
  <c r="K112" i="8"/>
  <c r="K109" i="8"/>
  <c r="D113" i="8"/>
  <c r="K111" i="8"/>
  <c r="J112" i="8"/>
  <c r="F112" i="8"/>
  <c r="J111" i="8"/>
  <c r="L112" i="8"/>
  <c r="K113" i="8"/>
  <c r="J114" i="8"/>
  <c r="J113" i="8"/>
  <c r="F113" i="8"/>
  <c r="L111" i="8"/>
  <c r="F114" i="8"/>
  <c r="L113" i="8"/>
  <c r="L114" i="8"/>
  <c r="E98" i="8"/>
  <c r="E97" i="8"/>
  <c r="K96" i="8"/>
  <c r="J95" i="8"/>
  <c r="F95" i="8"/>
  <c r="K95" i="8"/>
  <c r="L95" i="8"/>
  <c r="F96" i="8"/>
  <c r="D98" i="8"/>
  <c r="J96" i="8"/>
  <c r="L96" i="8"/>
  <c r="D97" i="8"/>
  <c r="K97" i="8"/>
  <c r="F98" i="8"/>
  <c r="K98" i="8"/>
  <c r="J98" i="8"/>
  <c r="D99" i="8"/>
  <c r="F97" i="8"/>
  <c r="J97" i="8"/>
  <c r="L97" i="8"/>
  <c r="K99" i="8"/>
  <c r="L98" i="8"/>
  <c r="F99" i="8"/>
  <c r="J99" i="8"/>
  <c r="L99" i="8"/>
  <c r="D81" i="8"/>
  <c r="F74" i="8"/>
  <c r="F79" i="8"/>
  <c r="K79" i="8"/>
  <c r="K74" i="8"/>
  <c r="F81" i="8"/>
  <c r="K81" i="8"/>
  <c r="F80" i="8"/>
  <c r="F43" i="8"/>
  <c r="K43" i="8"/>
  <c r="K41" i="8"/>
  <c r="J50" i="8"/>
  <c r="F50" i="8"/>
  <c r="F47" i="8"/>
  <c r="F46" i="8"/>
  <c r="F45" i="8"/>
  <c r="F44" i="8"/>
  <c r="F41" i="8"/>
  <c r="D59" i="8"/>
  <c r="D61" i="8"/>
  <c r="K44" i="8"/>
  <c r="K47" i="8"/>
  <c r="K45" i="8"/>
  <c r="K50" i="8"/>
  <c r="L50" i="8"/>
  <c r="J45" i="8"/>
  <c r="K46" i="8"/>
  <c r="F59" i="8"/>
  <c r="K59" i="8"/>
  <c r="J46" i="8"/>
  <c r="J44" i="8"/>
  <c r="J41" i="8"/>
  <c r="L41" i="8"/>
  <c r="J47" i="8"/>
  <c r="D60" i="8"/>
  <c r="K60" i="8"/>
  <c r="K61" i="8"/>
  <c r="L47" i="8"/>
  <c r="L45" i="8"/>
  <c r="L44" i="8"/>
  <c r="L46" i="8"/>
  <c r="E448" i="8"/>
  <c r="F448" i="8"/>
  <c r="K448" i="8"/>
  <c r="J448" i="8"/>
  <c r="K443" i="8"/>
  <c r="L448" i="8"/>
  <c r="K450" i="8"/>
  <c r="J442" i="8"/>
  <c r="F442" i="8"/>
  <c r="K442" i="8"/>
  <c r="F450" i="8"/>
  <c r="J450" i="8"/>
  <c r="L450" i="8"/>
  <c r="L442" i="8"/>
  <c r="D73" i="8"/>
  <c r="D104" i="8"/>
  <c r="F469" i="8"/>
  <c r="F467" i="8"/>
  <c r="B465" i="8"/>
  <c r="F250" i="8"/>
  <c r="F214" i="8"/>
  <c r="F213" i="8"/>
  <c r="F252" i="8"/>
  <c r="E246" i="8"/>
  <c r="E243" i="8"/>
  <c r="E232" i="8"/>
  <c r="E206" i="8"/>
  <c r="E202" i="8"/>
  <c r="E191" i="8"/>
  <c r="E204" i="8"/>
  <c r="E231" i="8"/>
  <c r="E245" i="8"/>
  <c r="D120" i="8"/>
  <c r="D78" i="8"/>
  <c r="F34" i="8"/>
  <c r="K76" i="8"/>
  <c r="F76" i="8"/>
  <c r="E104" i="8"/>
  <c r="F102" i="8"/>
  <c r="E110" i="8"/>
  <c r="D110" i="8"/>
  <c r="F109" i="8"/>
  <c r="J108" i="8"/>
  <c r="F108" i="8"/>
  <c r="F73" i="8"/>
  <c r="F78" i="8"/>
  <c r="K110" i="8"/>
  <c r="K34" i="8"/>
  <c r="J34" i="8"/>
  <c r="F103" i="8"/>
  <c r="F185" i="8"/>
  <c r="K73" i="8"/>
  <c r="K185" i="8"/>
  <c r="K469" i="8"/>
  <c r="J469" i="8"/>
  <c r="K467" i="8"/>
  <c r="J467" i="8"/>
  <c r="F177" i="8"/>
  <c r="K177" i="8"/>
  <c r="J246" i="8"/>
  <c r="L246" i="8"/>
  <c r="J213" i="8"/>
  <c r="L213" i="8"/>
  <c r="F246" i="8"/>
  <c r="J214" i="8"/>
  <c r="L214" i="8"/>
  <c r="K243" i="8"/>
  <c r="F224" i="8"/>
  <c r="J250" i="8"/>
  <c r="L250" i="8"/>
  <c r="J252" i="8"/>
  <c r="L252" i="8"/>
  <c r="J251" i="8"/>
  <c r="L251" i="8"/>
  <c r="F251" i="8"/>
  <c r="K224" i="8"/>
  <c r="K202" i="8"/>
  <c r="K206" i="8"/>
  <c r="J232" i="8"/>
  <c r="F243" i="8"/>
  <c r="F204" i="8"/>
  <c r="J206" i="8"/>
  <c r="J243" i="8"/>
  <c r="F206" i="8"/>
  <c r="F232" i="8"/>
  <c r="K232" i="8"/>
  <c r="J202" i="8"/>
  <c r="F202" i="8"/>
  <c r="F245" i="8"/>
  <c r="K191" i="8"/>
  <c r="F191" i="8"/>
  <c r="J191" i="8"/>
  <c r="K204" i="8"/>
  <c r="K77" i="8"/>
  <c r="J204" i="8"/>
  <c r="F77" i="8"/>
  <c r="F231" i="8"/>
  <c r="K231" i="8"/>
  <c r="J231" i="8"/>
  <c r="J245" i="8"/>
  <c r="L245" i="8"/>
  <c r="F110" i="8"/>
  <c r="F104" i="8"/>
  <c r="J104" i="8"/>
  <c r="L104" i="8"/>
  <c r="J103" i="8"/>
  <c r="L103" i="8"/>
  <c r="K108" i="8"/>
  <c r="L108" i="8"/>
  <c r="J109" i="8"/>
  <c r="L109" i="8"/>
  <c r="J110" i="8"/>
  <c r="L110" i="8"/>
  <c r="J224" i="8"/>
  <c r="L224" i="8"/>
  <c r="J185" i="8"/>
  <c r="L185" i="8"/>
  <c r="L469" i="8"/>
  <c r="L467" i="8"/>
  <c r="L202" i="8"/>
  <c r="J177" i="8"/>
  <c r="L177" i="8"/>
  <c r="L206" i="8"/>
  <c r="L243" i="8"/>
  <c r="L232" i="8"/>
  <c r="L191" i="8"/>
  <c r="L231" i="8"/>
  <c r="L204" i="8"/>
  <c r="L34" i="8"/>
  <c r="K102" i="8"/>
  <c r="J102" i="8"/>
  <c r="L102" i="8"/>
  <c r="K151" i="8"/>
  <c r="J151" i="8"/>
  <c r="E151" i="8"/>
  <c r="F151" i="8"/>
  <c r="K150" i="8"/>
  <c r="J150" i="8"/>
  <c r="F150" i="8"/>
  <c r="J169" i="8"/>
  <c r="F169" i="8"/>
  <c r="K169" i="8"/>
  <c r="L150" i="8"/>
  <c r="L151" i="8"/>
  <c r="D72" i="8"/>
  <c r="F71" i="8"/>
  <c r="D70" i="8"/>
  <c r="D69" i="8"/>
  <c r="F68" i="8"/>
  <c r="K63" i="8"/>
  <c r="J63" i="8"/>
  <c r="A489" i="8"/>
  <c r="A432" i="8"/>
  <c r="F444" i="8"/>
  <c r="E449" i="8"/>
  <c r="D451" i="8"/>
  <c r="D414" i="8"/>
  <c r="E414" i="8"/>
  <c r="F176" i="8"/>
  <c r="F178" i="8"/>
  <c r="F179" i="8"/>
  <c r="E211" i="8"/>
  <c r="F183" i="8"/>
  <c r="F174" i="8"/>
  <c r="E248" i="8"/>
  <c r="E234" i="8"/>
  <c r="E212" i="8"/>
  <c r="E247" i="8"/>
  <c r="E233" i="8"/>
  <c r="E230" i="8"/>
  <c r="E229" i="8"/>
  <c r="E228" i="8"/>
  <c r="E227" i="8"/>
  <c r="E190" i="8"/>
  <c r="E189" i="8"/>
  <c r="E188" i="8"/>
  <c r="E187" i="8"/>
  <c r="E186" i="8"/>
  <c r="E447" i="8"/>
  <c r="F64" i="8"/>
  <c r="F122" i="8"/>
  <c r="F120" i="8"/>
  <c r="D62" i="8"/>
  <c r="F33" i="8"/>
  <c r="F89" i="8"/>
  <c r="D90" i="8"/>
  <c r="D372" i="8"/>
  <c r="K457" i="8"/>
  <c r="D461" i="8"/>
  <c r="E440" i="8"/>
  <c r="E446" i="8"/>
  <c r="F456" i="8"/>
  <c r="F457" i="8"/>
  <c r="F30" i="8"/>
  <c r="F35" i="8"/>
  <c r="E92" i="8"/>
  <c r="E93" i="8"/>
  <c r="J457" i="8"/>
  <c r="B432" i="8"/>
  <c r="D473" i="8"/>
  <c r="D475" i="8"/>
  <c r="B27" i="8"/>
  <c r="A27" i="8"/>
  <c r="D14" i="8"/>
  <c r="D92" i="8"/>
  <c r="K92" i="8"/>
  <c r="K62" i="8"/>
  <c r="F90" i="8"/>
  <c r="K414" i="8"/>
  <c r="F451" i="8"/>
  <c r="K451" i="8"/>
  <c r="F69" i="8"/>
  <c r="K69" i="8"/>
  <c r="F70" i="8"/>
  <c r="K70" i="8"/>
  <c r="J143" i="8"/>
  <c r="L143" i="8"/>
  <c r="J30" i="8"/>
  <c r="K30" i="8"/>
  <c r="J439" i="8"/>
  <c r="F439" i="8"/>
  <c r="K439" i="8"/>
  <c r="F72" i="8"/>
  <c r="K72" i="8"/>
  <c r="K71" i="8"/>
  <c r="K68" i="8"/>
  <c r="J69" i="8"/>
  <c r="J70" i="8"/>
  <c r="K66" i="8"/>
  <c r="J66" i="8"/>
  <c r="L63" i="8"/>
  <c r="F182" i="8"/>
  <c r="K225" i="8"/>
  <c r="F219" i="8"/>
  <c r="J230" i="8"/>
  <c r="F247" i="8"/>
  <c r="K372" i="8"/>
  <c r="L372" i="8"/>
  <c r="L457" i="8"/>
  <c r="J188" i="8"/>
  <c r="J248" i="8"/>
  <c r="L248" i="8"/>
  <c r="K190" i="8"/>
  <c r="J186" i="8"/>
  <c r="J89" i="8"/>
  <c r="K33" i="8"/>
  <c r="F92" i="8"/>
  <c r="K449" i="8"/>
  <c r="K174" i="8"/>
  <c r="J190" i="8"/>
  <c r="F449" i="8"/>
  <c r="F443" i="8"/>
  <c r="K454" i="8"/>
  <c r="J454" i="8"/>
  <c r="F190" i="8"/>
  <c r="K233" i="8"/>
  <c r="K89" i="8"/>
  <c r="F223" i="8"/>
  <c r="K120" i="8"/>
  <c r="F212" i="8"/>
  <c r="J211" i="8"/>
  <c r="L211" i="8"/>
  <c r="K456" i="8"/>
  <c r="K219" i="8"/>
  <c r="K90" i="8"/>
  <c r="F227" i="8"/>
  <c r="F230" i="8"/>
  <c r="J247" i="8"/>
  <c r="L247" i="8"/>
  <c r="J212" i="8"/>
  <c r="L212" i="8"/>
  <c r="K181" i="8"/>
  <c r="J449" i="8"/>
  <c r="K122" i="8"/>
  <c r="F180" i="8"/>
  <c r="K188" i="8"/>
  <c r="K180" i="8"/>
  <c r="J229" i="8"/>
  <c r="F55" i="8"/>
  <c r="F181" i="8"/>
  <c r="F233" i="8"/>
  <c r="F228" i="8"/>
  <c r="F187" i="8"/>
  <c r="J176" i="8"/>
  <c r="J62" i="8"/>
  <c r="J414" i="8"/>
  <c r="K222" i="8"/>
  <c r="K228" i="8"/>
  <c r="F414" i="8"/>
  <c r="J187" i="8"/>
  <c r="F415" i="8"/>
  <c r="F211" i="8"/>
  <c r="K183" i="8"/>
  <c r="J178" i="8"/>
  <c r="F119" i="8"/>
  <c r="F147" i="8"/>
  <c r="F222" i="8"/>
  <c r="K182" i="8"/>
  <c r="J451" i="8"/>
  <c r="J417" i="8"/>
  <c r="J227" i="8"/>
  <c r="F225" i="8"/>
  <c r="K178" i="8"/>
  <c r="K119" i="8"/>
  <c r="J90" i="8"/>
  <c r="K64" i="8"/>
  <c r="K187" i="8"/>
  <c r="F248" i="8"/>
  <c r="J228" i="8"/>
  <c r="F437" i="8"/>
  <c r="J179" i="8"/>
  <c r="J456" i="8"/>
  <c r="K223" i="8"/>
  <c r="K35" i="8"/>
  <c r="K234" i="8"/>
  <c r="J234" i="8"/>
  <c r="F234" i="8"/>
  <c r="K221" i="8"/>
  <c r="F221" i="8"/>
  <c r="J233" i="8"/>
  <c r="F62" i="8"/>
  <c r="K230" i="8"/>
  <c r="J189" i="8"/>
  <c r="F189" i="8"/>
  <c r="K189" i="8"/>
  <c r="K229" i="8"/>
  <c r="F229" i="8"/>
  <c r="K179" i="8"/>
  <c r="F186" i="8"/>
  <c r="K186" i="8"/>
  <c r="K473" i="8"/>
  <c r="L473" i="8"/>
  <c r="K226" i="8"/>
  <c r="F218" i="8"/>
  <c r="K218" i="8"/>
  <c r="F188" i="8"/>
  <c r="J174" i="8"/>
  <c r="J92" i="8"/>
  <c r="L92" i="8"/>
  <c r="J438" i="8"/>
  <c r="J437" i="8"/>
  <c r="D91" i="8"/>
  <c r="K227" i="8"/>
  <c r="F226" i="8"/>
  <c r="J183" i="8"/>
  <c r="K475" i="8"/>
  <c r="L475" i="8"/>
  <c r="K461" i="8"/>
  <c r="L461" i="8"/>
  <c r="K176" i="8"/>
  <c r="J33" i="8"/>
  <c r="F220" i="8"/>
  <c r="K220" i="8"/>
  <c r="F438" i="8"/>
  <c r="K438" i="8"/>
  <c r="K437" i="8"/>
  <c r="J35" i="8"/>
  <c r="J444" i="8"/>
  <c r="K444" i="8"/>
  <c r="K445" i="8"/>
  <c r="F445" i="8"/>
  <c r="L451" i="8"/>
  <c r="L414" i="8"/>
  <c r="K415" i="8"/>
  <c r="J181" i="8"/>
  <c r="L181" i="8"/>
  <c r="J225" i="8"/>
  <c r="L225" i="8"/>
  <c r="L70" i="8"/>
  <c r="L69" i="8"/>
  <c r="J100" i="8"/>
  <c r="L100" i="8"/>
  <c r="J101" i="8"/>
  <c r="L101" i="8"/>
  <c r="K147" i="8"/>
  <c r="K55" i="8"/>
  <c r="J75" i="8"/>
  <c r="L75" i="8"/>
  <c r="J141" i="8"/>
  <c r="L141" i="8"/>
  <c r="J140" i="8"/>
  <c r="L140" i="8"/>
  <c r="J139" i="8"/>
  <c r="L139" i="8"/>
  <c r="J138" i="8"/>
  <c r="L138" i="8"/>
  <c r="J133" i="8"/>
  <c r="L133" i="8"/>
  <c r="J134" i="8"/>
  <c r="L134" i="8"/>
  <c r="J136" i="8"/>
  <c r="L136" i="8"/>
  <c r="J137" i="8"/>
  <c r="L137" i="8"/>
  <c r="J135" i="8"/>
  <c r="L135" i="8"/>
  <c r="J132" i="8"/>
  <c r="L132" i="8"/>
  <c r="J128" i="8"/>
  <c r="L128" i="8"/>
  <c r="J125" i="8"/>
  <c r="L125" i="8"/>
  <c r="J124" i="8"/>
  <c r="L124" i="8"/>
  <c r="J80" i="8"/>
  <c r="L80" i="8"/>
  <c r="J74" i="8"/>
  <c r="L74" i="8"/>
  <c r="J121" i="8"/>
  <c r="L121" i="8"/>
  <c r="J131" i="8"/>
  <c r="L131" i="8"/>
  <c r="L79" i="8"/>
  <c r="J130" i="8"/>
  <c r="L130" i="8"/>
  <c r="J123" i="8"/>
  <c r="L123" i="8"/>
  <c r="J81" i="8"/>
  <c r="L81" i="8"/>
  <c r="J129" i="8"/>
  <c r="L129" i="8"/>
  <c r="J126" i="8"/>
  <c r="L126" i="8"/>
  <c r="J43" i="8"/>
  <c r="L43" i="8"/>
  <c r="J59" i="8"/>
  <c r="J61" i="8"/>
  <c r="L61" i="8"/>
  <c r="J60" i="8"/>
  <c r="L60" i="8"/>
  <c r="J443" i="8"/>
  <c r="L443" i="8"/>
  <c r="L439" i="8"/>
  <c r="J73" i="8"/>
  <c r="L73" i="8"/>
  <c r="J78" i="8"/>
  <c r="L78" i="8"/>
  <c r="J77" i="8"/>
  <c r="L77" i="8"/>
  <c r="J76" i="8"/>
  <c r="L76" i="8"/>
  <c r="J72" i="8"/>
  <c r="L72" i="8"/>
  <c r="J71" i="8"/>
  <c r="L71" i="8"/>
  <c r="J68" i="8"/>
  <c r="L68" i="8"/>
  <c r="L66" i="8"/>
  <c r="L30" i="8"/>
  <c r="J219" i="8"/>
  <c r="L219" i="8"/>
  <c r="J182" i="8"/>
  <c r="L182" i="8"/>
  <c r="L190" i="8"/>
  <c r="J223" i="8"/>
  <c r="L223" i="8"/>
  <c r="L230" i="8"/>
  <c r="L89" i="8"/>
  <c r="L186" i="8"/>
  <c r="L233" i="8"/>
  <c r="L33" i="8"/>
  <c r="L188" i="8"/>
  <c r="L227" i="8"/>
  <c r="L176" i="8"/>
  <c r="J180" i="8"/>
  <c r="L180" i="8"/>
  <c r="J415" i="8"/>
  <c r="L90" i="8"/>
  <c r="L449" i="8"/>
  <c r="L454" i="8"/>
  <c r="L183" i="8"/>
  <c r="L456" i="8"/>
  <c r="L417" i="8"/>
  <c r="J122" i="8"/>
  <c r="L122" i="8"/>
  <c r="L178" i="8"/>
  <c r="L229" i="8"/>
  <c r="J64" i="8"/>
  <c r="L64" i="8"/>
  <c r="F374" i="8"/>
  <c r="L35" i="8"/>
  <c r="L437" i="8"/>
  <c r="L234" i="8"/>
  <c r="L179" i="8"/>
  <c r="L228" i="8"/>
  <c r="J222" i="8"/>
  <c r="L222" i="8"/>
  <c r="F428" i="8"/>
  <c r="L187" i="8"/>
  <c r="K91" i="8"/>
  <c r="F91" i="8"/>
  <c r="D93" i="8"/>
  <c r="J91" i="8"/>
  <c r="J220" i="8"/>
  <c r="L220" i="8"/>
  <c r="L174" i="8"/>
  <c r="J120" i="8"/>
  <c r="L120" i="8"/>
  <c r="J119" i="8"/>
  <c r="L62" i="8"/>
  <c r="J416" i="8"/>
  <c r="J226" i="8"/>
  <c r="L226" i="8"/>
  <c r="J218" i="8"/>
  <c r="L218" i="8"/>
  <c r="J221" i="8"/>
  <c r="L221" i="8"/>
  <c r="L189" i="8"/>
  <c r="L438" i="8"/>
  <c r="L444" i="8"/>
  <c r="J445" i="8"/>
  <c r="L445" i="8"/>
  <c r="L415" i="8"/>
  <c r="K93" i="8"/>
  <c r="F472" i="8"/>
  <c r="J472" i="8" s="1"/>
  <c r="L472" i="8" s="1"/>
  <c r="K472" i="8"/>
  <c r="F471" i="8"/>
  <c r="J471" i="8" s="1"/>
  <c r="K471" i="8"/>
  <c r="K440" i="8"/>
  <c r="J440" i="8"/>
  <c r="F440" i="8"/>
  <c r="J147" i="8"/>
  <c r="L147" i="8"/>
  <c r="J85" i="8"/>
  <c r="J374" i="8"/>
  <c r="J428" i="8"/>
  <c r="J430" i="8" s="1"/>
  <c r="H4" i="8" s="1"/>
  <c r="J4" i="8" s="1"/>
  <c r="J55" i="8"/>
  <c r="L55" i="8"/>
  <c r="L169" i="8"/>
  <c r="L59" i="8"/>
  <c r="K441" i="8"/>
  <c r="J446" i="8"/>
  <c r="F446" i="8"/>
  <c r="K446" i="8"/>
  <c r="F441" i="8"/>
  <c r="F85" i="8"/>
  <c r="L119" i="8"/>
  <c r="F411" i="8"/>
  <c r="L91" i="8"/>
  <c r="J93" i="8"/>
  <c r="D94" i="8"/>
  <c r="F93" i="8"/>
  <c r="L416" i="8"/>
  <c r="F487" i="8"/>
  <c r="F6" i="8" s="1"/>
  <c r="K94" i="8"/>
  <c r="L440" i="8"/>
  <c r="L85" i="8"/>
  <c r="L93" i="8"/>
  <c r="J441" i="8"/>
  <c r="J447" i="8"/>
  <c r="F447" i="8"/>
  <c r="K447" i="8"/>
  <c r="L446" i="8"/>
  <c r="L374" i="8"/>
  <c r="L411" i="8"/>
  <c r="F94" i="8"/>
  <c r="F116" i="8"/>
  <c r="J94" i="8"/>
  <c r="J116" i="8"/>
  <c r="K452" i="8"/>
  <c r="K463" i="8"/>
  <c r="I5" i="8" s="1"/>
  <c r="K5" i="8" s="1"/>
  <c r="L94" i="8"/>
  <c r="F430" i="8"/>
  <c r="F4" i="8"/>
  <c r="L441" i="8"/>
  <c r="F452" i="8"/>
  <c r="F463" i="8" s="1"/>
  <c r="F5" i="8" s="1"/>
  <c r="L447" i="8"/>
  <c r="J452" i="8"/>
  <c r="J463" i="8"/>
  <c r="L463" i="8" s="1"/>
  <c r="L116" i="8"/>
  <c r="L452" i="8"/>
  <c r="L483" i="8"/>
  <c r="L482" i="8"/>
  <c r="K485" i="8"/>
  <c r="L484" i="8"/>
  <c r="L485" i="8"/>
  <c r="L481" i="8"/>
  <c r="K487" i="8"/>
  <c r="L479" i="8"/>
  <c r="I6" i="8"/>
  <c r="K6" i="8" s="1"/>
  <c r="L478" i="8"/>
  <c r="E16" i="8"/>
  <c r="E17" i="8"/>
  <c r="I17" i="8"/>
  <c r="K17" i="8"/>
  <c r="L17" i="8"/>
  <c r="I16" i="8"/>
  <c r="K16" i="8"/>
  <c r="L16" i="8"/>
  <c r="E14" i="8"/>
  <c r="H14" i="8"/>
  <c r="J14" i="8"/>
  <c r="L14" i="8"/>
  <c r="L471" i="8" l="1"/>
  <c r="J487" i="8"/>
  <c r="F10" i="8"/>
  <c r="D15" i="8" s="1"/>
  <c r="I15" i="8" s="1"/>
  <c r="K15" i="8" s="1"/>
  <c r="L15" i="8" s="1"/>
  <c r="H5" i="8"/>
  <c r="J5" i="8" s="1"/>
  <c r="L5" i="8" s="1"/>
  <c r="K10" i="8"/>
  <c r="K18" i="8" s="1"/>
  <c r="L4" i="8"/>
  <c r="L428" i="8"/>
  <c r="L430" i="8" s="1"/>
  <c r="H6" i="8" l="1"/>
  <c r="J6" i="8" s="1"/>
  <c r="L487" i="8"/>
  <c r="K19" i="8"/>
  <c r="E20" i="8" s="1"/>
  <c r="I20" i="8" s="1"/>
  <c r="K20" i="8" s="1"/>
  <c r="K21" i="8" s="1"/>
  <c r="L21" i="8" s="1"/>
  <c r="L6" i="8" l="1"/>
  <c r="L10" i="8" s="1"/>
  <c r="J10" i="8"/>
  <c r="J11" i="8" l="1"/>
  <c r="J18" i="8"/>
  <c r="L18" i="8" l="1"/>
  <c r="J19" i="8"/>
  <c r="L19" i="8" s="1"/>
</calcChain>
</file>

<file path=xl/sharedStrings.xml><?xml version="1.0" encoding="utf-8"?>
<sst xmlns="http://schemas.openxmlformats.org/spreadsheetml/2006/main" count="1302" uniqueCount="507">
  <si>
    <t>V</t>
  </si>
  <si>
    <t>Označení
pozice</t>
  </si>
  <si>
    <t>Název specifikace, poznámka</t>
  </si>
  <si>
    <t>Měrná
jednotka</t>
  </si>
  <si>
    <t>Množství
jednotek</t>
  </si>
  <si>
    <t>Hmotnost
[kg]
měrná jednotka</t>
  </si>
  <si>
    <t>Hmotnost
[kg]
celkem</t>
  </si>
  <si>
    <t>Cenová
jednotka</t>
  </si>
  <si>
    <t>Přesná cena
[Kč]
dodávka</t>
  </si>
  <si>
    <t>Přesná cena
[Kč]
montáž</t>
  </si>
  <si>
    <t>Zaokr. cena
[Kč]
dodávka</t>
  </si>
  <si>
    <t>Zaokr. Cena
[Kč]
montáž</t>
  </si>
  <si>
    <t>Cena
[Kč]
dodávka + montáž</t>
  </si>
  <si>
    <t>REKAPITULACE:</t>
  </si>
  <si>
    <t>I</t>
  </si>
  <si>
    <t>sada</t>
  </si>
  <si>
    <t>II</t>
  </si>
  <si>
    <t>III</t>
  </si>
  <si>
    <t>vč. montáže</t>
  </si>
  <si>
    <t>SOUČTY         :</t>
  </si>
  <si>
    <t>Označení pozice</t>
  </si>
  <si>
    <t>DOPRAVA mimostaveništní</t>
  </si>
  <si>
    <t>[%]</t>
  </si>
  <si>
    <t>PŘESUN</t>
  </si>
  <si>
    <t>[q]</t>
  </si>
  <si>
    <t>PPV</t>
  </si>
  <si>
    <t>PPJP</t>
  </si>
  <si>
    <t>ZRN, CELKEM</t>
  </si>
  <si>
    <t>ZAŘÍZENÍ STAVENIŠTĚ</t>
  </si>
  <si>
    <t>VRN, CELKEM</t>
  </si>
  <si>
    <t>Označ.</t>
  </si>
  <si>
    <t>Název - norma - výkres</t>
  </si>
  <si>
    <t>Měrná</t>
  </si>
  <si>
    <t>Množství</t>
  </si>
  <si>
    <t>Základ</t>
  </si>
  <si>
    <t>Cenová</t>
  </si>
  <si>
    <t>Přesná cena  [Kč]</t>
  </si>
  <si>
    <t>Zaokrouhlená cena  [Kč]</t>
  </si>
  <si>
    <t>Cena  [Kč]</t>
  </si>
  <si>
    <t>Pozice</t>
  </si>
  <si>
    <t>Poznámka</t>
  </si>
  <si>
    <t>jedn.</t>
  </si>
  <si>
    <t>jednotek</t>
  </si>
  <si>
    <t>[Kč]</t>
  </si>
  <si>
    <t>Dodávka</t>
  </si>
  <si>
    <t>Montáž</t>
  </si>
  <si>
    <t>Dodávka+Montáž</t>
  </si>
  <si>
    <t>ZAŘÍZENÍ - POZICE 1 AŽ 15</t>
  </si>
  <si>
    <t>Název - norma - výkres - poznámka</t>
  </si>
  <si>
    <t>Cena za jednotku
[Kč]
dodávka</t>
  </si>
  <si>
    <t>Cena za jednotku
[Kč]
montáž</t>
  </si>
  <si>
    <t>Celková cena
[Kč]
dodávka</t>
  </si>
  <si>
    <t>Celková cena
[Kč]
montáž</t>
  </si>
  <si>
    <t>Celková cena
[Kč]
dodávka + montáž</t>
  </si>
  <si>
    <t>Stroje a aparáty:</t>
  </si>
  <si>
    <t>ks</t>
  </si>
  <si>
    <t>2</t>
  </si>
  <si>
    <t>3</t>
  </si>
  <si>
    <t>4</t>
  </si>
  <si>
    <t>SOUČTY:</t>
  </si>
  <si>
    <t>Regulační přístroje</t>
  </si>
  <si>
    <r>
      <t>Přístroje pro NH</t>
    </r>
    <r>
      <rPr>
        <i/>
        <vertAlign val="subscript"/>
        <sz val="10"/>
        <rFont val="Arial CE"/>
        <family val="2"/>
        <charset val="238"/>
      </rPr>
      <t>3</t>
    </r>
    <r>
      <rPr>
        <i/>
        <sz val="10"/>
        <rFont val="Arial CE"/>
        <family val="2"/>
        <charset val="238"/>
      </rPr>
      <t xml:space="preserve"> čerpadla</t>
    </r>
  </si>
  <si>
    <t>Přístroje místního měření</t>
  </si>
  <si>
    <t>Místní přístroje pro nízkotlaký sběrač chladiva</t>
  </si>
  <si>
    <t>Manometrový ventil B-M20x1,5-ČSN 13 7517.4</t>
  </si>
  <si>
    <t>Nástavec D2-M20x1,5 LH ČSN 13 7524.0</t>
  </si>
  <si>
    <t>Přípojka A-M20x1,5 -ČSN 13 7524.1</t>
  </si>
  <si>
    <t>Těsnění 20 ČSN 13 7540.1</t>
  </si>
  <si>
    <t>Chladivová armatura</t>
  </si>
  <si>
    <r>
      <t>Neizolované NH</t>
    </r>
    <r>
      <rPr>
        <b/>
        <vertAlign val="subscript"/>
        <sz val="10"/>
        <rFont val="Arial CE"/>
        <family val="2"/>
        <charset val="238"/>
      </rPr>
      <t xml:space="preserve">3 </t>
    </r>
    <r>
      <rPr>
        <b/>
        <sz val="10"/>
        <rFont val="Arial CE"/>
        <family val="2"/>
        <charset val="238"/>
      </rPr>
      <t>potrubí:</t>
    </r>
  </si>
  <si>
    <t>bm</t>
  </si>
  <si>
    <t>kg, m</t>
  </si>
  <si>
    <t>Tlakové zkoušky potrubí</t>
  </si>
  <si>
    <t>h</t>
  </si>
  <si>
    <t>Montážní materiál:</t>
  </si>
  <si>
    <t>Montážní materiál - ocelové profily</t>
  </si>
  <si>
    <t>kg</t>
  </si>
  <si>
    <t>Montážní materiál - třmeny, objímky izolované potrubí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</si>
  <si>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</si>
  <si>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kg, m</t>
    </r>
    <r>
      <rPr>
        <vertAlign val="superscript"/>
        <sz val="10"/>
        <rFont val="Arial CE"/>
        <family val="2"/>
        <charset val="238"/>
      </rPr>
      <t>2</t>
    </r>
  </si>
  <si>
    <t>Ostatní výkony</t>
  </si>
  <si>
    <t>Výchozí revize - tlaková</t>
  </si>
  <si>
    <t>Uvedeni do provozu:</t>
  </si>
  <si>
    <t>1. chladicí okruh (1.st.)</t>
  </si>
  <si>
    <t>Projektová a inženýrská činnost</t>
  </si>
  <si>
    <t>Suma za kapitolu</t>
  </si>
  <si>
    <t>Inženýrská činnost</t>
  </si>
  <si>
    <t>IV</t>
  </si>
  <si>
    <t>Tepelné izolace aparátů a potrubí:</t>
  </si>
  <si>
    <t>Zákl. [Kč]:</t>
  </si>
  <si>
    <t>Strojovna chlazení</t>
  </si>
  <si>
    <t>kpl</t>
  </si>
  <si>
    <t>FV1</t>
  </si>
  <si>
    <t>2.2</t>
  </si>
  <si>
    <t>2.1</t>
  </si>
  <si>
    <t>2.1.1</t>
  </si>
  <si>
    <t>2.1.3</t>
  </si>
  <si>
    <t>3.1</t>
  </si>
  <si>
    <t>3.2</t>
  </si>
  <si>
    <r>
      <t>Jehlový ventil Danfoss
SNV-ST G</t>
    </r>
    <r>
      <rPr>
        <sz val="10"/>
        <rFont val="Arial CE"/>
        <charset val="238"/>
      </rPr>
      <t>1/2</t>
    </r>
    <r>
      <rPr>
        <vertAlign val="subscript"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W1/2L100</t>
    </r>
    <r>
      <rPr>
        <sz val="10"/>
        <rFont val="Arial CE"/>
        <charset val="238"/>
      </rPr>
      <t>; 148B3769</t>
    </r>
  </si>
  <si>
    <r>
      <t xml:space="preserve">Příslušenství jehlového ventilu Danfoss
Zaslepovací matice vč. těsnění G 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; 2469+056</t>
    </r>
  </si>
  <si>
    <t>Rohový uzavírací ventil Danfoss 
SVA 10 ND 123; 2413+133</t>
  </si>
  <si>
    <t>3.3</t>
  </si>
  <si>
    <t>Rychlouzavírací odolejovací ventil
Danfoss QDV 15; 148H3272
Fitinky pro připojení hadice; 2469+065
Fitinky pro přivaření; 2469+066</t>
  </si>
  <si>
    <t>Střídací + 2 pojistné ventily, Danfoss
DSV2 FD25 + 2 x SFV 20,  p=20 Bar;
148F3009</t>
  </si>
  <si>
    <t>Zpětný venil Danfoss
NRVA 50, 20-2005</t>
  </si>
  <si>
    <t>Filtr Danfoss, přímý
FIA 50 D STR; 148H3090, 148H3130</t>
  </si>
  <si>
    <t>5</t>
  </si>
  <si>
    <t>Oblouk 3D-90°-26,9x2,6; 12 021.1;
ČSN EN 10253-1</t>
  </si>
  <si>
    <t>Obl. DK 3-26,9;  A=85 mm + 100 mm volné
konce; 12 021.1, 
TDP ČSN 42 0251.63;
v.č. 4-16-152-1</t>
  </si>
  <si>
    <t>Distanční plech; v.č.2-16-153-1</t>
  </si>
  <si>
    <t>6</t>
  </si>
  <si>
    <t>7</t>
  </si>
  <si>
    <t>8</t>
  </si>
  <si>
    <r>
      <t>Kulový kohout pro NH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 DN 80 PN 40, 
Pekos, 94TTT-80-40; příruba EN 1092
typ C - pero</t>
    </r>
  </si>
  <si>
    <t>Oblouk 3D-90°-21,3x2,6; 12 021.1;
ČSN EN 10253-1</t>
  </si>
  <si>
    <t>Oblouk 3D-90°-33,7x2,6; 12 021.1;
ČSN EN 10253-1</t>
  </si>
  <si>
    <t>Oblouk 3D-90°-42,4x2,6; 12 021.1;
ČSN EN 10253-1</t>
  </si>
  <si>
    <t>Oblouk 3D-90°-60,3x2,9; 12 021.1;
ČSN EN 10253-1</t>
  </si>
  <si>
    <t>Oblouk 3D-90°-76,1x3,2; 12 021.1;
ČSN EN 10253-1</t>
  </si>
  <si>
    <t>Oblouk 3D-90°-139,7x4,5; 12 021.1;
ČSN EN 10253-1</t>
  </si>
  <si>
    <t>Koncentrický přechod - tvar 2
76,1x3,2-60,3x2,9; 12 021,1
ČSN EN 10253-1</t>
  </si>
  <si>
    <t>Oblouk 3D-90°-219,1x6,3; 12 021.1;
ČSN EN 10253-1</t>
  </si>
  <si>
    <t>Dřevěná podložka pod EN 200x150x50 
tvrdé mořené dřevo</t>
  </si>
  <si>
    <t>K1</t>
  </si>
  <si>
    <t>Ledová plocha, propojovací a rozvodný kanál LP:</t>
  </si>
  <si>
    <t>1-RP-65</t>
  </si>
  <si>
    <t>2-RR-125</t>
  </si>
  <si>
    <t>Regul. hladiny AKS38 vč. relé, 148H3194</t>
  </si>
  <si>
    <t>Návarek 1"; 027F1010</t>
  </si>
  <si>
    <t>Převodník tlaku Danfoss
AKS 33, 0 až +25 bar, 060G2110</t>
  </si>
  <si>
    <t>Převodník tlaku Danfoss
AKS 33, -1 až +12 bar, 060G2105</t>
  </si>
  <si>
    <t>2.3</t>
  </si>
  <si>
    <t>Stavoznak Danfoss LLG 590 SF; 2512+068</t>
  </si>
  <si>
    <t>Filtr Danfoss, rohový
FIA 125 D ANG; 148H3060, 148H3141</t>
  </si>
  <si>
    <t>Motorický ventil Danfoss
ICM 32-A; 40 D, 027H3012</t>
  </si>
  <si>
    <t>ICAD 600 ACTUATOR; 027H1200</t>
  </si>
  <si>
    <t>Multi-function tool; 027H0180</t>
  </si>
  <si>
    <r>
      <t>Servoventil Danfoss
ICS1 25-25; D 27H2060;  1</t>
    </r>
    <r>
      <rPr>
        <vertAlign val="subscript"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" </t>
    </r>
  </si>
  <si>
    <t>Pilot ventil Danfoss
CVP-P (LP), 27B1102 (17; 0-7 bar)</t>
  </si>
  <si>
    <t>2.1.2</t>
  </si>
  <si>
    <t>2.2.1</t>
  </si>
  <si>
    <t>Střídací + 2 pojistné ventily, Danfoss
DSV2 FD20 + 2 x SFV 15,  p=20 Bar;
148F3006</t>
  </si>
  <si>
    <t>Střídací + 2 pojistné ventily, Danfoss
DSV2 FD32 + 2 x SFV 25,  p=16 Bar;
148F3011</t>
  </si>
  <si>
    <r>
      <t>Kulový kohout 509 DN 10 (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charset val="238"/>
      </rPr>
      <t>")
mosaz, VALVE; 509-10-40</t>
    </r>
  </si>
  <si>
    <r>
      <t>Kulový kohout 509 DN 15 (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")
mosaz, VALVE; 509-15-40</t>
    </r>
  </si>
  <si>
    <t>Těsnicí kroužek 17x22x1,5 ČSN 02 9310.3</t>
  </si>
  <si>
    <t>3.5</t>
  </si>
  <si>
    <t>3.6</t>
  </si>
  <si>
    <t>3.7</t>
  </si>
  <si>
    <t>Zpětný venil Danfoss
NRVA 65, 20-2006</t>
  </si>
  <si>
    <t>P1.1
P1.2</t>
  </si>
  <si>
    <t>S1</t>
  </si>
  <si>
    <t>R1</t>
  </si>
  <si>
    <t>Elektromagnetický ventil Danfoss, 
typ EVRA 3, 32F3103.31</t>
  </si>
  <si>
    <t>Příruby 1/2", 27N1115</t>
  </si>
  <si>
    <t>Koncentrický přechod - tvar 2
88,9x3,6-76,1x3,2; 12 021,1
ČSN EN 10253-1</t>
  </si>
  <si>
    <t>Oblouk 3D-90°-88,9x3,6; 12 021.1;
ČSN EN 10253-1</t>
  </si>
  <si>
    <t>Koncentrický přechod - tvar 2
114,3x4-88,9x3,6; 12 021,1
ČSN EN 10253-1</t>
  </si>
  <si>
    <t>Koncentrický přechod - tvar 2
88,9x3,6-60,3x2,9; 12 021,1
ČSN EN 10253-1</t>
  </si>
  <si>
    <t>Příruba ČSN EN 1092-1/11 C/DN 100/PN40
pero</t>
  </si>
  <si>
    <t>Zaslepovací příruba 
ČSN EN 1092-1/05 D/DN 100/PN40; drážka</t>
  </si>
  <si>
    <t>Příruba ČSN EN 1092-1/11 C/DN 15/PN40
pero</t>
  </si>
  <si>
    <t>Zaslepovací příruba 
ČSN EN 1092-1/11 D/DN 15/PN40
drážka</t>
  </si>
  <si>
    <t>m</t>
  </si>
  <si>
    <t>Potrubí</t>
  </si>
  <si>
    <t>Základní a konečné nátěry potrubí a rozdělovacích a sběracích kolektorů
- bez trubkového systému LP</t>
  </si>
  <si>
    <t>Nátěry - základní nátěr izolovaného potrubí ve strojovně</t>
  </si>
  <si>
    <t>Nátěry - neizolovaného potrubí ve strojovně</t>
  </si>
  <si>
    <t>1</t>
  </si>
  <si>
    <t>Projektová dokumentace pro provádění stavby</t>
  </si>
  <si>
    <t>Naplně chladiva R717, kontejner à 500 kg</t>
  </si>
  <si>
    <t>Náplň mazacího oleje pro kompresory (barel)</t>
  </si>
  <si>
    <t>Koncentrický přechod - tvar 2
76,1x3,2-48,3x2,6; 12 021,1
ČSN EN 10253-1</t>
  </si>
  <si>
    <t>Diferenční presostat Danfoss,
rozsah 0,3 až 4,5 bar, diference 0,2 bar 
typ MP 55A, 060B029866</t>
  </si>
  <si>
    <t>Přímý regulační ventil Danfoss 
REG-SB 20 D STR CAP; 148B5329</t>
  </si>
  <si>
    <t>OV/15</t>
  </si>
  <si>
    <t>UV/15</t>
  </si>
  <si>
    <t>RV/20</t>
  </si>
  <si>
    <t>Přímý uzavírací ventil Danfoss 
SVA-S 15 D STR CAP; 148B5211</t>
  </si>
  <si>
    <t>Dno DN 20 PN 40 ČSN 13 1815; 11 416.1</t>
  </si>
  <si>
    <t>1-RP-20</t>
  </si>
  <si>
    <t>C1</t>
  </si>
  <si>
    <t>Al těsnění ; 084H4547</t>
  </si>
  <si>
    <t>1.2</t>
  </si>
  <si>
    <t>Stroje a aparáty na využití odpadního tepla:</t>
  </si>
  <si>
    <t>C2</t>
  </si>
  <si>
    <t>H1</t>
  </si>
  <si>
    <t>H2</t>
  </si>
  <si>
    <t>H3</t>
  </si>
  <si>
    <t>P2.1
P2.2</t>
  </si>
  <si>
    <t>P3</t>
  </si>
  <si>
    <r>
      <t>Vyrovnávací a doplňovací nádrž na vodu 
Objem 18 litrů</t>
    </r>
    <r>
      <rPr>
        <vertAlign val="superscript"/>
        <sz val="10"/>
        <rFont val="Arial CE"/>
        <family val="2"/>
        <charset val="238"/>
      </rPr>
      <t xml:space="preserve">
</t>
    </r>
    <r>
      <rPr>
        <sz val="10"/>
        <rFont val="Arial CE"/>
        <charset val="238"/>
      </rPr>
      <t>300 x 200 x 300 mm; Nerez
v.č.4-16-184-1</t>
    </r>
  </si>
  <si>
    <t>R2</t>
  </si>
  <si>
    <t>FV2</t>
  </si>
  <si>
    <t>FV3</t>
  </si>
  <si>
    <t>R3</t>
  </si>
  <si>
    <t>2.1.4/
ZV50</t>
  </si>
  <si>
    <t>Přístroje pro kondenzátor</t>
  </si>
  <si>
    <t>2.3.1/
RV32</t>
  </si>
  <si>
    <t>2.3.2/
HV25-25</t>
  </si>
  <si>
    <t>2.3.3</t>
  </si>
  <si>
    <t>Elektromagnetický ventil Danfoss, 
typ EVRAT 15, 32F6216</t>
  </si>
  <si>
    <r>
      <t xml:space="preserve">Příruby 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", 27N1115</t>
    </r>
  </si>
  <si>
    <t>Cívka 12 W, 18F6801</t>
  </si>
  <si>
    <t>Zpětný ventil Danfoss,
 typ NRVA 15, 20-2000</t>
  </si>
  <si>
    <t>2.5/ZV65</t>
  </si>
  <si>
    <t>2.6/Y3</t>
  </si>
  <si>
    <t>2.7/Y15</t>
  </si>
  <si>
    <t>Smyčka D ČSN 13 7530.7druh D</t>
  </si>
  <si>
    <t>MV</t>
  </si>
  <si>
    <t>MK</t>
  </si>
  <si>
    <t>3.8</t>
  </si>
  <si>
    <t>Přímý uzavírací ventil Danfoss 
SVA-S 6 D STR CAP; 148B5011</t>
  </si>
  <si>
    <t>Přímý uzavírací ventil Danfoss 
SVA-S 25 D STR CAP; 148B5411</t>
  </si>
  <si>
    <t>Přímý uzavírací ventil Danfoss 
SVA-S 32 D STR CAP; 148B5511</t>
  </si>
  <si>
    <t>Přímý uzavírací ventil Danfoss 
SVA-S 50 D STR CAP; 148B5711</t>
  </si>
  <si>
    <t>Přímý uzavírací ventil Danfoss 
SVA-S 65 D STR CAP; 148B5811</t>
  </si>
  <si>
    <t>Přímý uzavírací ventil Danfoss 
SVA-S 80 D STR CAP; 148B5911</t>
  </si>
  <si>
    <t>Přímý uzavírací ventil Danfoss 
SVA-S 125 D STR CAP; 148B6111</t>
  </si>
  <si>
    <t>UV/6</t>
  </si>
  <si>
    <t>UV-R/10</t>
  </si>
  <si>
    <t>SV</t>
  </si>
  <si>
    <t>UV/25</t>
  </si>
  <si>
    <t>Rohový uzavírací ventil Danfoss 
SVA-S 25 D ANG CAP; 148B5401</t>
  </si>
  <si>
    <t>UV-R/25</t>
  </si>
  <si>
    <t>Rohový uzavírací ventil Danfoss 
SVA-S 50 D ANG CAP; 148B5701</t>
  </si>
  <si>
    <t>UV/50</t>
  </si>
  <si>
    <t>UV-R/50</t>
  </si>
  <si>
    <t>UV/32</t>
  </si>
  <si>
    <t>UV/65</t>
  </si>
  <si>
    <t>UV/80</t>
  </si>
  <si>
    <t>Rohový uzavírací ventil Danfoss 
SVA-S 125 D ANG CAP; 148B6101</t>
  </si>
  <si>
    <t>UV/125</t>
  </si>
  <si>
    <t>UV-R/125</t>
  </si>
  <si>
    <t>Přímý regulační ventil Danfoss 
REG-SB 25 D STR CAP; 148B5429</t>
  </si>
  <si>
    <t>Přímý regulační ventil Danfoss 
REG-SB 32 D STR CAP; 148B5529</t>
  </si>
  <si>
    <t>RV/32</t>
  </si>
  <si>
    <t>Přímý regulační ventil Danfoss 
REG-SB 10 D STR CAP; 148B5105</t>
  </si>
  <si>
    <t>RV/10</t>
  </si>
  <si>
    <t>RV/25</t>
  </si>
  <si>
    <t>TV/20+
2xPV/15</t>
  </si>
  <si>
    <t>TV/25+
2xPV/20</t>
  </si>
  <si>
    <t>TV/32+
2xPV/25</t>
  </si>
  <si>
    <t>F/50</t>
  </si>
  <si>
    <t>F-R/125</t>
  </si>
  <si>
    <t>KK/80</t>
  </si>
  <si>
    <t>Kulový kohout 509 DN 25 (1")
mosaz, VALVE; 509-25-40</t>
  </si>
  <si>
    <r>
      <t>Kulový kohout 509 DN 32 (1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
mosaz, VALVE; 509-32-30</t>
    </r>
  </si>
  <si>
    <t>Vsuvka ČSN EN 10242-N8-1-Zn-A 
(13 8200) (dříve ČSN 13 8243.1)</t>
  </si>
  <si>
    <r>
      <t>PV/
1"x1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</t>
    </r>
  </si>
  <si>
    <t>KK/1"</t>
  </si>
  <si>
    <r>
      <t xml:space="preserve">KK/
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family val="2"/>
        <charset val="238"/>
      </rPr>
      <t>"</t>
    </r>
  </si>
  <si>
    <r>
      <t xml:space="preserve">KK/
</t>
    </r>
    <r>
      <rPr>
        <vertAlign val="superscript"/>
        <sz val="10"/>
        <rFont val="Arial CE"/>
        <charset val="238"/>
      </rPr>
      <t>1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>"</t>
    </r>
  </si>
  <si>
    <r>
      <t>KK/
32(1</t>
    </r>
    <r>
      <rPr>
        <vertAlign val="superscript"/>
        <sz val="10"/>
        <rFont val="Arial CE"/>
        <charset val="238"/>
      </rPr>
      <t>1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family val="2"/>
        <charset val="238"/>
      </rPr>
      <t>")</t>
    </r>
  </si>
  <si>
    <r>
      <t>ZV/
32 (1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</t>
    </r>
  </si>
  <si>
    <r>
      <t>Zpětný ventil RV600 DN 32 (1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"),
nerez, VALVE RV600-32-40</t>
    </r>
  </si>
  <si>
    <r>
      <t>Vsuvka ČSN EN 10242-N8-1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-Zn-A 
(13 8200) (dříve ČSN 13 8243.1)</t>
    </r>
  </si>
  <si>
    <t>UK/
40</t>
  </si>
  <si>
    <t>Uzavírací klapka KSB, typ Boax s pákou
DN 40 PN 16, i.č.42080017</t>
  </si>
  <si>
    <r>
      <t xml:space="preserve">FV/
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family val="2"/>
        <charset val="238"/>
      </rPr>
      <t>"</t>
    </r>
  </si>
  <si>
    <r>
      <t>Plovákový ventill DN 10 (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family val="2"/>
        <charset val="238"/>
      </rPr>
      <t>8</t>
    </r>
    <r>
      <rPr>
        <sz val="10"/>
        <rFont val="Arial CE"/>
        <charset val="238"/>
      </rPr>
      <t>") včetně plováku
PV051538</t>
    </r>
  </si>
  <si>
    <t>Dno DN 15 PN 100 ČSN 13 1815; 11 416.1</t>
  </si>
  <si>
    <t>Koncentrický přechod - tvar 2
60,3x2,9-48,3x2,6; 12 021,1
ČSN EN 10253-1</t>
  </si>
  <si>
    <t>Příruba ČSN EN 1092-1/11 D/DN 80/PN40
drážka</t>
  </si>
  <si>
    <r>
      <t>Izolované NH</t>
    </r>
    <r>
      <rPr>
        <b/>
        <vertAlign val="subscript"/>
        <sz val="10"/>
        <rFont val="Arial CE"/>
        <charset val="238"/>
      </rPr>
      <t>3</t>
    </r>
    <r>
      <rPr>
        <b/>
        <sz val="10"/>
        <rFont val="Arial CE"/>
        <family val="2"/>
        <charset val="238"/>
      </rPr>
      <t xml:space="preserve"> potrubí:</t>
    </r>
  </si>
  <si>
    <t>Izolované ocelové vodní potrubí</t>
  </si>
  <si>
    <t>Oblouk 3D-90°-48,3x2,6; 11 353.1;
ČSN EN 10253-1</t>
  </si>
  <si>
    <t>Koncentrický přechod - tvar 2
60,3x2,9-48,3x2,6; 11 353,1
ČSN EN 10253-1</t>
  </si>
  <si>
    <t>Příruba ČSN EN 1092-1/01 B/DN 40/PN40; lišta B</t>
  </si>
  <si>
    <t>Šroubení ČSN EN 10242-U12-1-Zn-A 
(13 8200) (dříve ČSN 13 8261.1)</t>
  </si>
  <si>
    <r>
      <t xml:space="preserve">Přivařovací nátrubek s vnějším závitem na
jednom konci G 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charset val="238"/>
      </rPr>
      <t>"</t>
    </r>
  </si>
  <si>
    <r>
      <t xml:space="preserve">Přivařovací nátrubek s vnějším závitem na
jednom konci G 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</t>
    </r>
  </si>
  <si>
    <t>Přivařovací nátrubek s vnějším závitem na
jednom konci G 1"</t>
  </si>
  <si>
    <t>Šroubení ČSN EN 10242-U11-3/8-Zn-A 
(13 8200) (dříve ČSN 13 8260.1)</t>
  </si>
  <si>
    <t>Vsuvka ČSN EN 10242-N8-3/8-Zn-A 
(13 8200) (dříve ČSN 13 8243.1)</t>
  </si>
  <si>
    <r>
      <t>Neizolované ocelové vodní</t>
    </r>
    <r>
      <rPr>
        <b/>
        <vertAlign val="subscript"/>
        <sz val="10"/>
        <rFont val="Arial CE"/>
        <family val="2"/>
        <charset val="238"/>
      </rPr>
      <t xml:space="preserve"> </t>
    </r>
    <r>
      <rPr>
        <b/>
        <sz val="10"/>
        <rFont val="Arial CE"/>
        <family val="2"/>
        <charset val="238"/>
      </rPr>
      <t>potrubí:</t>
    </r>
  </si>
  <si>
    <t>Neizolované PP vodní potrubí</t>
  </si>
  <si>
    <r>
      <t xml:space="preserve">Koleno 90°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40</t>
    </r>
    <r>
      <rPr>
        <sz val="10"/>
        <rFont val="Arial CE"/>
        <charset val="238"/>
      </rPr>
      <t>; kod 727100109</t>
    </r>
  </si>
  <si>
    <t>Koleno 90° PP Ø63; kod 727100111</t>
  </si>
  <si>
    <r>
      <t xml:space="preserve">Víčko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; kod 727960111</t>
    </r>
  </si>
  <si>
    <r>
      <t xml:space="preserve">Spojka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40</t>
    </r>
    <r>
      <rPr>
        <sz val="10"/>
        <rFont val="Arial CE"/>
        <charset val="238"/>
      </rPr>
      <t>; kod 727910109</t>
    </r>
  </si>
  <si>
    <t>Spojka PP Ø63; kod 727910111</t>
  </si>
  <si>
    <r>
      <t xml:space="preserve">Spojka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32</t>
    </r>
    <r>
      <rPr>
        <sz val="10"/>
        <rFont val="Arial CE"/>
        <charset val="238"/>
      </rPr>
      <t>; kod 727910108</t>
    </r>
  </si>
  <si>
    <t>Izolované PP vodní potrubí</t>
  </si>
  <si>
    <r>
      <t xml:space="preserve">Koleno 90°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32</t>
    </r>
    <r>
      <rPr>
        <sz val="10"/>
        <rFont val="Arial CE"/>
        <charset val="238"/>
      </rPr>
      <t>; kod 727100108</t>
    </r>
  </si>
  <si>
    <r>
      <t xml:space="preserve">T 90° souměrné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40</t>
    </r>
    <r>
      <rPr>
        <sz val="10"/>
        <rFont val="Arial CE"/>
        <charset val="238"/>
      </rPr>
      <t>; kod 727200109</t>
    </r>
  </si>
  <si>
    <r>
      <t xml:space="preserve">T 90° souměrné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; kod 727200111</t>
    </r>
  </si>
  <si>
    <r>
      <t xml:space="preserve">Spojka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20; kod 727910106</t>
    </r>
  </si>
  <si>
    <t>Komponenty pro PP vodní potrubí</t>
  </si>
  <si>
    <r>
      <t xml:space="preserve">Přechodová spojka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40</t>
    </r>
    <r>
      <rPr>
        <sz val="10"/>
        <rFont val="Arial CE"/>
        <charset val="238"/>
      </rPr>
      <t>-Rp1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"; 
kod 727910209</t>
    </r>
  </si>
  <si>
    <t>Komponenty pro připojení čerpadla P3:</t>
  </si>
  <si>
    <r>
      <t xml:space="preserve">Přechodová spojka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50</t>
    </r>
    <r>
      <rPr>
        <sz val="10"/>
        <rFont val="Arial CE"/>
        <charset val="238"/>
      </rPr>
      <t>-Rp1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"; 
kod 727910210</t>
    </r>
  </si>
  <si>
    <r>
      <t xml:space="preserve">Připojení ventilu, kohoutu </t>
    </r>
    <r>
      <rPr>
        <i/>
        <vertAlign val="superscript"/>
        <sz val="10"/>
        <rFont val="Arial CE"/>
        <charset val="238"/>
      </rPr>
      <t>3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8</t>
    </r>
    <r>
      <rPr>
        <i/>
        <sz val="10"/>
        <rFont val="Arial CE"/>
        <charset val="238"/>
      </rPr>
      <t xml:space="preserve">" </t>
    </r>
  </si>
  <si>
    <r>
      <t xml:space="preserve">Připojení ventilu, kohoutu </t>
    </r>
    <r>
      <rPr>
        <i/>
        <vertAlign val="superscript"/>
        <sz val="10"/>
        <rFont val="Arial CE"/>
        <charset val="238"/>
      </rPr>
      <t>1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2</t>
    </r>
    <r>
      <rPr>
        <i/>
        <sz val="10"/>
        <rFont val="Arial CE"/>
        <charset val="238"/>
      </rPr>
      <t xml:space="preserve">" </t>
    </r>
  </si>
  <si>
    <r>
      <t>Připojení ventilu, kohoutu 1</t>
    </r>
    <r>
      <rPr>
        <i/>
        <sz val="10"/>
        <rFont val="Arial CE"/>
        <charset val="238"/>
      </rPr>
      <t xml:space="preserve">" </t>
    </r>
  </si>
  <si>
    <r>
      <t>Připojení ventilu, kohoutu 1</t>
    </r>
    <r>
      <rPr>
        <i/>
        <vertAlign val="superscript"/>
        <sz val="10"/>
        <rFont val="Arial CE"/>
        <charset val="238"/>
      </rPr>
      <t>1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4</t>
    </r>
    <r>
      <rPr>
        <i/>
        <sz val="10"/>
        <rFont val="Arial CE"/>
        <charset val="238"/>
      </rPr>
      <t xml:space="preserve">" </t>
    </r>
  </si>
  <si>
    <r>
      <t>Připojení ventilu, kohoutu 1</t>
    </r>
    <r>
      <rPr>
        <i/>
        <vertAlign val="superscript"/>
        <sz val="10"/>
        <rFont val="Arial CE"/>
        <charset val="238"/>
      </rPr>
      <t>1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2</t>
    </r>
    <r>
      <rPr>
        <i/>
        <sz val="10"/>
        <rFont val="Arial CE"/>
        <charset val="238"/>
      </rPr>
      <t xml:space="preserve">" </t>
    </r>
  </si>
  <si>
    <t>Izolace  výměníku H1; ELTE MAX 9.4-10-8
melamin; dodávka ELTE s.r.o.</t>
  </si>
  <si>
    <t>Izolace zásobníku H3; ELTE 2500 litrů
Progresso; dodávka ELTE s.r.o.</t>
  </si>
  <si>
    <t>Kaučuková tepelné Izolace; tlouštka izolace 15 až 25 mm:</t>
  </si>
  <si>
    <t>Kaučuková tepelné Izolace; tlouštka izolace 9 až 16 mm:</t>
  </si>
  <si>
    <t>Izolace armatur DN 15</t>
  </si>
  <si>
    <t>Izolace armatur DN 25</t>
  </si>
  <si>
    <t>Izolace armatur DN 32</t>
  </si>
  <si>
    <t>Izolace armatur DN 50</t>
  </si>
  <si>
    <t>Izolace armatur DN 65</t>
  </si>
  <si>
    <t>Izolace armatur DN 80</t>
  </si>
  <si>
    <t>Izolace armatur DN 125</t>
  </si>
  <si>
    <t>Radarová sonda pro měření a regulaci 
hladiny Danfoss, typ AKS 4100; kabelové
provedení; 084H4501; L=5 m</t>
  </si>
  <si>
    <t>Tepelná izolace potrubí Ø20x1,9; Ø21,3x2,6 
AF-2-22 (H-22)</t>
  </si>
  <si>
    <t>Tepelná izolace potrubí Ø40x3,7; 
AF-2-42 (H-42)</t>
  </si>
  <si>
    <t>Tepelná izolace potrubí Ø48.3x2.6; 
AF-2-48 (H-48)</t>
  </si>
  <si>
    <t>Tepelná izolace potrubí Ø21.3x2.6; 
AF-4-022 (M-22)</t>
  </si>
  <si>
    <t>Tepelná izolace potrubí Ø33.7x2.6;
AF-4-035 (M-35)</t>
  </si>
  <si>
    <t>Tepelná izolace potrubí Ø42.4x2.6;
AF-4-042 (M-42)</t>
  </si>
  <si>
    <t>Tepelná izolace potrubí Ø60.3x2.9;
AF-4-060 (M-60)</t>
  </si>
  <si>
    <t>Tepelná izolace potrubí Ø76.1x3.2;
AF-4-076 (M-76)</t>
  </si>
  <si>
    <t>Tepelná izolace potrubí Ø88.9x3.6;
AF-4-089 (M-89)</t>
  </si>
  <si>
    <t>Tepelná izolace potrubí Ø114.3x4;
AF-4-114 (M-114)</t>
  </si>
  <si>
    <t>Tepelná izolace potrubí Ø139.7x4.5;
AF-4-140 (M-140)</t>
  </si>
  <si>
    <t>Trubkový systém ledové plochy
Potrubí Ø26.9x2.6; ČSN 42 5715.11,
 materiál 12 021.1, TDP ČSN 42 0251.63</t>
  </si>
  <si>
    <t>Odbočky z přívodního potrubí k RK
Potrubí Ø26.9x2.6; ČSN 42 5715.11,
 materiál 12 021.1, TDP ČSN 42 0251.63</t>
  </si>
  <si>
    <t>Přívodní potrubí
Potrubí Ø76,1x3,2; ČSN 42 5715.11,
materiál 12 021.1, TDP ČSN 42 0251.63</t>
  </si>
  <si>
    <t>Zpětné potrubí
Potrubí Ø139,7x4,5; ČSN 42 5715.11,
materiál 12 021.1, TDP ČSN 42 0251.63</t>
  </si>
  <si>
    <t>Klenuté dno Ø76,1x2,0; ČSN EN 10253-1; materiál DIN 1.4541 (17 248)</t>
  </si>
  <si>
    <t>Manometr Ø100, typ 03 385-CHG s teplotní stupnicí pro chladivo R717, plněný glycerinem, rozsah 0 až 2,5 MPa, třída přesnosti 1,6 %, spodní připojení M20x1,5</t>
  </si>
  <si>
    <t>Manometr Ø160, typ 03313-G 
s teplotní stupnicí pro chladivo R717, 
plněný glycerinem, 
rozsah 26; -0,1 až 1,5 MPa, 
třída přesnosti 1,6 %, 
spodní připojení M20x1,5</t>
  </si>
  <si>
    <t>Manometr Ø100, typ 03 304-G 06 pro vodu a neagresivní tekutiny, plněný glycerinem, rozsah 0 až 600 kPa, třída přesnosti 1,6 %, spodní připojení M20x1,5</t>
  </si>
  <si>
    <t>Potrubí Ø12x2; ČSN 42 6711.11,                                      materiál 12 021.1, TDP ČSN 42 0251.63</t>
  </si>
  <si>
    <t>Potrubí Ø21.3x2.6; ČSN 42 5715.11,                               materiál 12 021.1, TDP ČSN 42 0251.63</t>
  </si>
  <si>
    <t>Potrubí Ø26.9x2.6; ČSN 42 5715.11,                               materiál 12 021.1, TDP ČSN 42 0251.63</t>
  </si>
  <si>
    <t>Potrubí Ø33.7x2.6; ČSN 42 5715.11,                               materiál 12 021.1, TDP ČSN 42 0251.63</t>
  </si>
  <si>
    <t>Potrubí Ø42.4x2.6; ČSN 42 5715.11,                              materiál 12 021.1, TDP ČSN 42 0251.63</t>
  </si>
  <si>
    <t>Potrubí Ø48.3x2.6; ČSN 42 5715.11,                               materiál 12 021.1, TDP ČSN 42 0251.63</t>
  </si>
  <si>
    <t>Potrubí Ø60.3x2.9; ČSN 42 5715.11,                                 materiál 12 021.1, TDP ČSN 42 0251.63</t>
  </si>
  <si>
    <t>Potrubí Ø76.1x3.2; ČSN 42 5715.11,                                materiál 12 021.1, TDP ČSN 42 0251.63</t>
  </si>
  <si>
    <t>Potrubí Ø88.9x3.6; ČSN 42 5715.11,                                materiál 12 021.1, TDP ČSN 42 0251.63</t>
  </si>
  <si>
    <t>Potrubí Ø139.7x4.5; ČSN 42 5715.11,                             materiál 12 021.1, TDP ČSN 42 0251.63</t>
  </si>
  <si>
    <t>T kus Ø33,7-33,7-33,7; PN40;
12021.1; ČSN EN 10253-1</t>
  </si>
  <si>
    <t>T kus Ø42,4-42,4-42,4; PN40;
12021.1; ČSN EN 10253-1</t>
  </si>
  <si>
    <t>T kus Ø60,3-60,3-60,3; PN40;
12021.1; ČSN EN 10253-1</t>
  </si>
  <si>
    <t>T kus Ø88,9-76,1-88,9; PN40;
12021.1; ČSN EN 10253-1</t>
  </si>
  <si>
    <t>T kus Ø88,9-88,9-88,9; PN40;
12021.1; ČSN EN 10253-1</t>
  </si>
  <si>
    <t>Hluboce klenuté dno Ø33,7; PN40;
12021.1; ČSN EN 10253-1</t>
  </si>
  <si>
    <t>Hluboce klenuté dno Ø60,3; PN40;
12021.1; ČSN EN 10253-1</t>
  </si>
  <si>
    <t>Hluboce klenuté dno Ø76,1; PN40; 
12021.1; ČSN EN 10253-1</t>
  </si>
  <si>
    <t>Hluboce klenuté dno Ø88,9; PN40;
12021.1; ČSN EN 10253-1</t>
  </si>
  <si>
    <t>Hluboce klenuté dno Ø139,7; PN40;
12021.1; ČSN EN 10253-1</t>
  </si>
  <si>
    <t>Potrubí Ø114.3x4; ČSN 42 5715.11,                                 materiál 12 021.1, TDP ČSN 42 0251.63</t>
  </si>
  <si>
    <t>Potrubí Ø219,1x6,3; ČSN 42 5715.11,
materiál 12 021.1, TDP ČSN 42 0251.63</t>
  </si>
  <si>
    <t>T kus Ø76,1-60,3-76,1; PN40; 
12021.1; ČSN EN 10253-1</t>
  </si>
  <si>
    <t>Hluboce klenuté dno Ø114,3; PN40;
12021.1; ČSN EN 10253-1</t>
  </si>
  <si>
    <t>Hluboce klenuté dno Ø219,1; PN40;
12021.1; ČSN EN 10253-1</t>
  </si>
  <si>
    <t>Trubka Z-10-ČSN 42 5710.0 
(3/8" Ø17,5x2,35) 11 353.1, 
TDP ČSN 42 0250.1</t>
  </si>
  <si>
    <t>Trubka Z-15-ČSN 42 5710.0 
(1/2" Ø21,8x2,65) 11 353.1,
TDP ČSN 42 0250.1</t>
  </si>
  <si>
    <t>Potrubí Ø48,3x2,6; ČSN 42 5715.11,
materiál 11 353.1, TDP ČSN 42 0250.12</t>
  </si>
  <si>
    <t>Tepelná izolace potrubí Ø32x2.9; Ø33,7x2,6
AF-2-35 (H-35)</t>
  </si>
  <si>
    <t>Tepelná izolace potrubí Ø219x6,3;
AF-19MM/E (M-99/E)</t>
  </si>
  <si>
    <r>
      <t xml:space="preserve"> Veškeré studené části chladicího zařízení s nízkými provozními teplotami, t.j. potrubí a aparáty chladicího zařízení budou odpovídajícím způsobem tepelně izolovány.
Tepelně izolovány budou i teplé části okruhu ze systému využití odpadního tepla z provozu chladicího zařízení.
Síla tepelné izolace pro studené části zařízení bude navržena proti rosení zařízení
 Pro izolace bude použita kaučuková tepelná izolace se strukturou uzavřených buněk, nešířící plamen, s parotěsnou zábranou a s nízkou tepelnou vodivostí.
Hustota: </t>
    </r>
    <r>
      <rPr>
        <sz val="10"/>
        <rFont val="Arial"/>
        <family val="2"/>
        <charset val="238"/>
      </rPr>
      <t>ρ</t>
    </r>
    <r>
      <rPr>
        <sz val="10"/>
        <rFont val="Arial CE"/>
        <charset val="238"/>
      </rPr>
      <t xml:space="preserve"> = 50 až 100 kg / m3
Tepelná vodivost při -20 °C </t>
    </r>
    <r>
      <rPr>
        <sz val="10"/>
        <rFont val="Arial"/>
        <family val="2"/>
        <charset val="238"/>
      </rPr>
      <t>λ</t>
    </r>
    <r>
      <rPr>
        <sz val="10"/>
        <rFont val="Arial CE"/>
        <charset val="238"/>
      </rPr>
      <t xml:space="preserve"> = 0,034 W / m K
Tepelná vodivost při ± 0°C </t>
    </r>
    <r>
      <rPr>
        <sz val="10"/>
        <rFont val="Arial"/>
        <family val="2"/>
        <charset val="238"/>
      </rPr>
      <t>λ</t>
    </r>
    <r>
      <rPr>
        <sz val="10"/>
        <rFont val="Arial CE"/>
        <charset val="238"/>
      </rPr>
      <t xml:space="preserve"> = 0,036 W / m K
Tepelná vodivost při +40 °C </t>
    </r>
    <r>
      <rPr>
        <sz val="10"/>
        <rFont val="Arial"/>
        <family val="2"/>
        <charset val="238"/>
      </rPr>
      <t>λ</t>
    </r>
    <r>
      <rPr>
        <sz val="10"/>
        <rFont val="Arial CE"/>
        <charset val="238"/>
      </rPr>
      <t xml:space="preserve"> = 0,040 W / m K
Použitelnost do teploty, max. +105 °C
Použitelnost do teploty, min. -40 °C
Difuze vodní páry </t>
    </r>
    <r>
      <rPr>
        <sz val="10"/>
        <rFont val="Arial"/>
        <family val="2"/>
        <charset val="238"/>
      </rPr>
      <t>μ</t>
    </r>
    <r>
      <rPr>
        <sz val="10"/>
        <rFont val="Arial CE"/>
        <charset val="238"/>
      </rPr>
      <t xml:space="preserve"> </t>
    </r>
    <r>
      <rPr>
        <sz val="10"/>
        <rFont val="Arial"/>
        <family val="2"/>
        <charset val="238"/>
      </rPr>
      <t>≥</t>
    </r>
    <r>
      <rPr>
        <sz val="10"/>
        <rFont val="Arial CE"/>
        <charset val="238"/>
      </rPr>
      <t xml:space="preserve"> 7000
Požární vlastnosti: 
Stupeň hořlavosti M1, C1 dle ČSN 73 0862
Požární chování samozhášivý, nešíří plamen,  nekapající
Požární odolnost průniku stěnou do R 90
Požární odolnost průniku stropem do R 120
</t>
    </r>
  </si>
  <si>
    <t>Montážní materiál - třmeny, objímky, neizolované potrubí</t>
  </si>
  <si>
    <r>
      <t>Pojistný ventil DUCO 1"x1</t>
    </r>
    <r>
      <rPr>
        <vertAlign val="super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>", Δp=9,0 bar
692532.90</t>
    </r>
  </si>
  <si>
    <t>Přístroje pro nízkotlaký sběrač chladiva S1</t>
  </si>
  <si>
    <t>Teploměrná jímka, ocelová;
M20x1,5; L=65 mm</t>
  </si>
  <si>
    <t>Návarek, ocelový; L=35</t>
  </si>
  <si>
    <r>
      <t xml:space="preserve">Bimetálový teploměr přímý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63,
-30/+50 °C, L=160 mm</t>
    </r>
  </si>
  <si>
    <t>Teploměrná jímka, ocelová; 
M20x1,5; L=165 mm</t>
  </si>
  <si>
    <t>Návarek, ocelový; L=60</t>
  </si>
  <si>
    <t>Bimetálový teploměr přímý TDP 63,
-50/+30 °C, L=160 mm</t>
  </si>
  <si>
    <r>
      <t>Teploměrná jímka, ocelová; 
G</t>
    </r>
    <r>
      <rPr>
        <vertAlign val="superscript"/>
        <sz val="10"/>
        <rFont val="Arial CE"/>
        <charset val="238"/>
      </rPr>
      <t>1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>"; L=165 mm</t>
    </r>
  </si>
  <si>
    <r>
      <t>Návarek, G</t>
    </r>
    <r>
      <rPr>
        <vertAlign val="superscript"/>
        <sz val="10"/>
        <rFont val="Arial CE"/>
        <charset val="238"/>
      </rPr>
      <t>1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>", ocelový; L=60</t>
    </r>
  </si>
  <si>
    <t>2.4.1/ZV15</t>
  </si>
  <si>
    <t>Zpětný ventil Danfoss,
 typ NRVA 25, 20-2002</t>
  </si>
  <si>
    <t>R4</t>
  </si>
  <si>
    <r>
      <t>Kompresorová jednotka, typ 
SKJ-3-OSKA7472-K se 3 šroubovými kompresory Bitzer, typ OSKA7472-K
Chladicí výkon Q</t>
    </r>
    <r>
      <rPr>
        <vertAlign val="subscript"/>
        <sz val="10"/>
        <rFont val="Arial CE"/>
        <charset val="238"/>
      </rPr>
      <t>o</t>
    </r>
    <r>
      <rPr>
        <sz val="10"/>
        <rFont val="Arial CE"/>
        <family val="2"/>
        <charset val="238"/>
      </rPr>
      <t>=3x157,3=471,9 kW
při t</t>
    </r>
    <r>
      <rPr>
        <vertAlign val="subscript"/>
        <sz val="10"/>
        <rFont val="Arial CE"/>
        <charset val="238"/>
      </rPr>
      <t>o</t>
    </r>
    <r>
      <rPr>
        <sz val="10"/>
        <rFont val="Arial CE"/>
        <family val="2"/>
        <charset val="238"/>
      </rPr>
      <t>=-10 °C a t</t>
    </r>
    <r>
      <rPr>
        <vertAlign val="subscript"/>
        <sz val="10"/>
        <rFont val="Arial CE"/>
        <charset val="238"/>
      </rPr>
      <t>k</t>
    </r>
    <r>
      <rPr>
        <sz val="10"/>
        <rFont val="Arial CE"/>
        <family val="2"/>
        <charset val="238"/>
      </rPr>
      <t>=+42 °C
Chladicí výkony kompresorů dle EN12900, to je při přehřátí v sání kompresoru o Δt</t>
    </r>
    <r>
      <rPr>
        <vertAlign val="subscript"/>
        <sz val="10"/>
        <rFont val="Arial CE"/>
        <charset val="238"/>
      </rPr>
      <t>o</t>
    </r>
    <r>
      <rPr>
        <sz val="10"/>
        <rFont val="Arial CE"/>
        <family val="2"/>
        <charset val="238"/>
      </rPr>
      <t>=5 K a podchlazení kondenzátu Δt</t>
    </r>
    <r>
      <rPr>
        <vertAlign val="subscript"/>
        <sz val="10"/>
        <rFont val="Arial CE"/>
        <charset val="238"/>
      </rPr>
      <t>c</t>
    </r>
    <r>
      <rPr>
        <sz val="10"/>
        <rFont val="Arial CE"/>
        <family val="2"/>
        <charset val="238"/>
      </rPr>
      <t xml:space="preserve">=±0 K
</t>
    </r>
    <r>
      <rPr>
        <u/>
        <sz val="10"/>
        <rFont val="Arial CE"/>
        <charset val="238"/>
      </rPr>
      <t xml:space="preserve">Příslušenství na společném rámu:
</t>
    </r>
    <r>
      <rPr>
        <sz val="10"/>
        <rFont val="Arial CE"/>
        <family val="2"/>
        <charset val="238"/>
      </rPr>
      <t>Odlučovač oleje 10 ppm včetně sběrače oleje
Olejové čerpadlo pro provoz všech šroubových kompresorů
Termosifonový chladič oleje</t>
    </r>
  </si>
  <si>
    <r>
      <t>Výměník na využití odpadního tepla
ELTE, typ MAX 9.4-10-8
Vinutý protiproudý výměník tepla z  nerezové oceli AISI 321.
Výhřevná plocha 10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
Rozměry a provedení hrdel dle v.č. 3-16-226-1
Výrobce: ELTE s.r.o.</t>
    </r>
  </si>
  <si>
    <r>
      <t>Nerezový ohřívač vody  ELTE 2500 l, PN10
Válcová stojatá nádoba z nerezové oceli AISI 304 s vestavěným topnými registry pro ohřev vody v nádrži.
Akumulační nádrž V=2,5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s 
2 x topnými vložkami; 
1. topná vložka 8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
2. topná vložka 8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
Průměr nádoby D=1200 mm; 
Délka pláště L=1800 mm
Rozměry a provedení hrdel dle v.č. 3-16-222-1
Výrobce: ELTE s.r.o.</t>
    </r>
  </si>
  <si>
    <t>Expanzomat Reflex S 80/10,
Objem 80 litrů, PN10 
o.č. 7210300
včetně kulového kohoutu MK 1"
 o.č. 6830200
Výrobce: Reflex s.r.o.</t>
  </si>
  <si>
    <t>2.4.2/ZV25</t>
  </si>
  <si>
    <t>Vodní armatura</t>
  </si>
  <si>
    <t>Tepelná zolace nízkotlakého sběrače S1,
síla izolace 19 mm:
Teplota média: -10 °C
EN - 2 vrstvy</t>
  </si>
  <si>
    <t xml:space="preserve">Připojení ventilu, kohoutu 2" </t>
  </si>
  <si>
    <t>Komponenty pro připojení závitových hrdel H3:</t>
  </si>
  <si>
    <r>
      <t xml:space="preserve">Víčko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40; kod 727960109</t>
    </r>
  </si>
  <si>
    <t>Kulový kohout VL451 DN 50 (2")
nerez, VALVE; VL451-50-63</t>
  </si>
  <si>
    <t>3.4.1</t>
  </si>
  <si>
    <t>3.4.2</t>
  </si>
  <si>
    <t>Stavoznak Danfoss LLG 590 S; 2512+058</t>
  </si>
  <si>
    <t>KK-N/
50(2")</t>
  </si>
  <si>
    <r>
      <t>NH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čerpadlo Witt, GP51, Modell 5b; 
Příslušenství: Manometer s přípojkou; 
Q=9,8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/h, H=25 m k.sl.; 
elektromotor 3,0 kW,  3x400V, 50 Hz</t>
    </r>
  </si>
  <si>
    <r>
      <t>G/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family val="2"/>
        <charset val="238"/>
      </rPr>
      <t>"</t>
    </r>
  </si>
  <si>
    <r>
      <t xml:space="preserve">Průhledítko Danfoss 
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charset val="238"/>
      </rPr>
      <t>" G; 027L1267</t>
    </r>
  </si>
  <si>
    <r>
      <t>Nízký návarek G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family val="2"/>
        <charset val="238"/>
      </rPr>
      <t>8</t>
    </r>
    <r>
      <rPr>
        <sz val="10"/>
        <rFont val="Arial CE"/>
        <charset val="238"/>
      </rPr>
      <t>", v.č. 4-16-027-2</t>
    </r>
  </si>
  <si>
    <t>Koncentrický přechod - tvar 2
48,3x2,6-42,4x2,6; 12 021,1
ČSN EN 10253-1</t>
  </si>
  <si>
    <t>Materiál pro síta na sání kalového čerpadla P4:</t>
  </si>
  <si>
    <t>Děrovaný nerezový plech 1.4301 (17 240)
RV / 5 / 8 / 2 x 1000 x 2000</t>
  </si>
  <si>
    <t>Materiál na vyztužení a vedení síta:</t>
  </si>
  <si>
    <t>Tyč plochá 40x8 DIN 1017 (DIN 174)
nerez 1.4301 (17 240), 1.4306 (17 249)</t>
  </si>
  <si>
    <t>Tyč L 40x40x4 DIN 1028 (DIN 1029)
nerez 1.4301 (17 240), 1.4306 (17 249)</t>
  </si>
  <si>
    <t>Tyč L 50x50x4 DIN 1028 (DIN 1029)
nerez 1.4301 (17 240), 1.4306 (17 249)</t>
  </si>
  <si>
    <t>Koncentrický přechod - tvar 2 ; 
ČSN EN 10253-1; 60,3x42,4x2x2; 
materiál DIN 1.4301 (17 240)</t>
  </si>
  <si>
    <t>Manometrový kohout DN 3
B-M20x1,5-ČSN 13 7510.5</t>
  </si>
  <si>
    <t>RK</t>
  </si>
  <si>
    <t>SK</t>
  </si>
  <si>
    <t>Equqlizéř 8-76,1…1000
Potrubí Ø8x2; DIN 17458, nerez
materiál  DIN 1.4541 (AISI 321) (17 248)
v.č. 3-16-256-1</t>
  </si>
  <si>
    <t>P4</t>
  </si>
  <si>
    <r>
      <t>Vodní čerpadlo In-Line Grundfos, 
TP 32-320/2 A-F-A BQQE, v.č. 98278909
Q=2,02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/h, H=21,4 m k.sl.;
Q=4,01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/h, H=20,1 m k.sl.;
elmotor 0,75 kW, 3x230 D/3x400 Y V, 50 Hz
Základová deska 96405915
Výrobce: Grundfos</t>
    </r>
  </si>
  <si>
    <t>Kalové čerpadlo Grundfos
typ SE1.50.65.30.2.50.VD; č.v. 96047517
Q=4.15 l/s, H=19,2 m v.sl.
elektromotor 3,8 kW, 3x380-415 V
Kruhový podstavec pro svislé uložení 96102253</t>
  </si>
  <si>
    <r>
      <t>Vodní vícestupňové čerpadlo In-Line Grundfos, 
CR 3-12 A-A-A-E-HQQE, v.č. 96516599
Q=4,02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/h, H=40,4 m k.sl.;
elmotor 1,1 kW, 3x230 D/3x400 Y V, 50 Hz
Přivařovací spojení 00419902
Výrobce: Grundfos</t>
    </r>
  </si>
  <si>
    <r>
      <t>Vzduchem chlazený kondenzátor Güntner
GCHV AD 090.2OF/25E-63
Kondenzační výkon Q</t>
    </r>
    <r>
      <rPr>
        <vertAlign val="subscript"/>
        <sz val="10"/>
        <rFont val="Arial CE"/>
        <charset val="238"/>
      </rPr>
      <t>c</t>
    </r>
    <r>
      <rPr>
        <sz val="10"/>
        <rFont val="Arial CE"/>
        <charset val="238"/>
      </rPr>
      <t>=640 kW
při t</t>
    </r>
    <r>
      <rPr>
        <vertAlign val="subscript"/>
        <sz val="10"/>
        <rFont val="Arial CE"/>
        <charset val="238"/>
      </rPr>
      <t>v</t>
    </r>
    <r>
      <rPr>
        <sz val="10"/>
        <rFont val="Arial CE"/>
        <charset val="238"/>
      </rPr>
      <t>=+33 °C a t</t>
    </r>
    <r>
      <rPr>
        <vertAlign val="subscript"/>
        <sz val="10"/>
        <rFont val="Arial CE"/>
        <charset val="238"/>
      </rPr>
      <t>c</t>
    </r>
    <r>
      <rPr>
        <sz val="10"/>
        <rFont val="Arial CE"/>
        <charset val="238"/>
      </rPr>
      <t>=+42 °C
Příslušenství: 
- Prodloužené nohy 1000 mm
- EC Ventilátory včetně EC pojistné skříně</t>
    </r>
  </si>
  <si>
    <r>
      <t>Nízkotlaký sběrač chladiva VLS16020
D=1600mm, L=2000 mm, V=cca 5,15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
expanzní nádoba pracovní teplota -10 °C
Rozměrový náčrtek v.č.3-16-179-3-RN</t>
    </r>
  </si>
  <si>
    <r>
      <t>Pohotovostní sběrač chladiva HLR03511 
D=355,6 mm, L=1100 mm, V=cca 0,118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 xml:space="preserve">
v.č.4-16-203-2</t>
    </r>
  </si>
  <si>
    <r>
      <t>Kondenzátor chladiva - vinutý výměník z nerezové oceli  
Výkon Q = 150 kW
Chladivo: R717 (NH</t>
    </r>
    <r>
      <rPr>
        <vertAlign val="subscript"/>
        <sz val="10"/>
        <rFont val="Arial CE"/>
        <charset val="238"/>
      </rPr>
      <t>3</t>
    </r>
    <r>
      <rPr>
        <sz val="10"/>
        <rFont val="Arial CE"/>
        <charset val="238"/>
      </rPr>
      <t>)
Kondenzační teplota t</t>
    </r>
    <r>
      <rPr>
        <vertAlign val="subscript"/>
        <sz val="10"/>
        <rFont val="Arial CE"/>
        <charset val="238"/>
      </rPr>
      <t>c</t>
    </r>
    <r>
      <rPr>
        <sz val="10"/>
        <rFont val="Arial CE"/>
        <charset val="238"/>
      </rPr>
      <t>= cca +35 °C
Teplota chladicí vody t</t>
    </r>
    <r>
      <rPr>
        <vertAlign val="subscript"/>
        <sz val="10"/>
        <rFont val="Arial CE"/>
        <charset val="238"/>
      </rPr>
      <t>W</t>
    </r>
    <r>
      <rPr>
        <sz val="10"/>
        <rFont val="Arial CE"/>
        <charset val="238"/>
      </rPr>
      <t xml:space="preserve"> = +10/+20 °C
Teplosměnná plocha 10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
Rozměry a provedení hrdel dle v.č. 3-16-226-2
Výrobce: ELTE s.r.o.</t>
    </r>
  </si>
  <si>
    <t>Plovákový regulační ventil Danfoss
SV-3, 27B2023
Výkon určený množstvím zkondenzovaného chladiva
Max výkon 80 kW
Vypařovací teplota -10 °C
Kondenzační teplota +42 °C</t>
  </si>
  <si>
    <t>Uzavírací klapka KSB, typ Boax s pákou 
DN 32 PN 16, i.č.42080016</t>
  </si>
  <si>
    <t>UK/
32</t>
  </si>
  <si>
    <t>F1</t>
  </si>
  <si>
    <t>Elektromagnetický ventil Danfoss, 
typ EVRA 20, 32F6223.31</t>
  </si>
  <si>
    <t>Příruby 1", 27N1225</t>
  </si>
  <si>
    <t>2.8/Y20</t>
  </si>
  <si>
    <t>Protidešťová žaluzie PRG-500W;
obj.kod SP485100070</t>
  </si>
  <si>
    <t>Ochranná mřížka DEF 500 A8;
obj.kod SP466100070</t>
  </si>
  <si>
    <t>B1.1
B1.2</t>
  </si>
  <si>
    <t>Pískový filtr AQUAF 13x54 manuální (100 kg)</t>
  </si>
  <si>
    <t>Rozdělovací kolektor
Potrubí Ø76,1x3,2; ČSN 42 5715.11,
materiál 12 021.1, TDP ČSN 42 0251.63
v.č. 1-16-262-1; Celková délka L= 3670 mm</t>
  </si>
  <si>
    <t>Sběrací kolektor
Potrubí Ø139,7x4.5; ČSN 42 5715.11,
materiál 12 021.1, TDP ČSN 42 0251.63
v.č. 1-16-262-; Celková délka L= 3740 mm</t>
  </si>
  <si>
    <t>Vysokokotlaký PRV Danfoss, 
typ HFI 050 D 100,148G3093, přivařovací
Výkon 472 kW
Vypařovací teplota -10 °C
Kondenzační teplota +25(+42) °C</t>
  </si>
  <si>
    <t>Vysokokotlaký PRV Danfoss, 
typ HFI 040 D 100, 148G3092, , přivařovací
Výkon 150 kW
Vypařovací teplota -10 °C
Kondenzační teplota +25(+42) °C</t>
  </si>
  <si>
    <t>Rozdělovací trubka oteplené vody
v.č. 4-16-173-1</t>
  </si>
  <si>
    <t>Laminátová jímka pod expanzní nádobu
rozměry 2000x2000x150 mm</t>
  </si>
  <si>
    <t>Mars žlab 250x100x2000</t>
  </si>
  <si>
    <t>Vsuvka ČSN EN 10242-N8-1/2-Zn-A 
(13 8200) (dříve ČSN 13 8243.1)</t>
  </si>
  <si>
    <r>
      <t xml:space="preserve">Pojistný ventil DUCO </t>
    </r>
    <r>
      <rPr>
        <vertAlign val="super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"x 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", Δp=9 bar
691520.90</t>
    </r>
  </si>
  <si>
    <r>
      <t>ZV/
25(1</t>
    </r>
    <r>
      <rPr>
        <sz val="10"/>
        <rFont val="Arial CE"/>
        <charset val="238"/>
      </rPr>
      <t>")</t>
    </r>
  </si>
  <si>
    <t>Zpětný ventil RV600 DN 25 (1"),
nerez, VALVE RV600-25-40</t>
  </si>
  <si>
    <r>
      <t>F/
32 (1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</t>
    </r>
  </si>
  <si>
    <r>
      <t>Filtr YS800 DN 32 (1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"),
nerez, VALVE YS800-32-40</t>
    </r>
  </si>
  <si>
    <t>Potrubí Ø14x2; ČSN 42 6711.11,
materiál 12 021.1, TDP ČSN 42 0251.63</t>
  </si>
  <si>
    <r>
      <t xml:space="preserve">Bimetálový teploměr přímý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63, 
±0/+120 °C, L=60 mm</t>
    </r>
  </si>
  <si>
    <t>Koncentrický přechod - tvar 2
60,3x2,9-42,4x2,6; 12 021,1
ČSN EN 10253-1</t>
  </si>
  <si>
    <t>Koncentrický přechod - tvar 2
114,3x4-60,3x2,9; 12 021,1
ČSN EN 10253-1</t>
  </si>
  <si>
    <t>Oblouk 3D-90°-114,3x4; 12 021.1;
ČSN EN 10253-1</t>
  </si>
  <si>
    <t>T kus Ø139,7-114,3-139,7; PN40;
12021.1; ČSN EN 10253-1</t>
  </si>
  <si>
    <t>Koncentrický přechod - tvar 2
26,9x2,6-21,3x2,6; 12 021,1
ČSN EN 10253-1</t>
  </si>
  <si>
    <t>Opora č.1, pozinek, v.č. 2-16-264-1</t>
  </si>
  <si>
    <t>Opora č.2, pozinek, v.č. 2-16-264-1</t>
  </si>
  <si>
    <t>Opora č.3, pozinek, v.č. 2-16-264-1</t>
  </si>
  <si>
    <t>Opora č.4, pozinek, v.č. 2-16-264-1</t>
  </si>
  <si>
    <t>T kus Ø76,1-42,4-76,1; PN40; 
12021.1; ČSN EN 10253-1</t>
  </si>
  <si>
    <t>Koncentrický přechod - tvar 2
60,3x2,9-33,7x2,6; 12 021,1
ČSN EN 10253-1</t>
  </si>
  <si>
    <t>T kus Ø60,3-33,7-60,3; PN40;
12021.1; ČSN EN 10253-1</t>
  </si>
  <si>
    <t>T kus Ø33,7-21,3-33,7; PN40;
12021.1; ČSN EN 10253-1</t>
  </si>
  <si>
    <t>Příruba ČSN EN 1092-1/01 B/DN 50/PN16; lišta B</t>
  </si>
  <si>
    <t>Příruba ČSN EN 1092-1/01 B/DN 32/PN40; lišta B</t>
  </si>
  <si>
    <r>
      <t xml:space="preserve">Spojka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25; kod 727910107</t>
    </r>
  </si>
  <si>
    <r>
      <t xml:space="preserve">Koleno 90°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25; kod 727100107</t>
    </r>
  </si>
  <si>
    <r>
      <t xml:space="preserve">T 90° souměrné PP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32</t>
    </r>
    <r>
      <rPr>
        <sz val="10"/>
        <rFont val="Arial CE"/>
        <charset val="238"/>
      </rPr>
      <t>; kod 727200108</t>
    </r>
  </si>
  <si>
    <t>Komponenty pro připojení filtru F1</t>
  </si>
  <si>
    <r>
      <t xml:space="preserve">Přechodová spojka, vsuvka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32-R1"; 
kod 727910508</t>
    </r>
  </si>
  <si>
    <r>
      <t xml:space="preserve">Připojení ventilu, kohoutu </t>
    </r>
    <r>
      <rPr>
        <i/>
        <vertAlign val="superscript"/>
        <sz val="10"/>
        <rFont val="Arial CE"/>
        <charset val="238"/>
      </rPr>
      <t>3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4</t>
    </r>
    <r>
      <rPr>
        <i/>
        <sz val="10"/>
        <rFont val="Arial CE"/>
        <charset val="238"/>
      </rPr>
      <t xml:space="preserve">" </t>
    </r>
  </si>
  <si>
    <t>Komponenty pro připojení kondenzátoru C2:</t>
  </si>
  <si>
    <r>
      <t xml:space="preserve">PP Příruba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/DN50; kod 727700211</t>
    </r>
  </si>
  <si>
    <r>
      <t xml:space="preserve">Lemový nákružek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; kod 727790211</t>
    </r>
  </si>
  <si>
    <t>Koncentrický přechod - tvar 2
ČSN EN 10253-1;114,3x60,3x2;  
materiál DIN 1.4301 (17 240)</t>
  </si>
  <si>
    <t>Oblouk 3D-90°-114,3x2,0; ČSN EN 10253-1;
materiál DIN 1.4301 (17 248)</t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</si>
  <si>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40-32; kod 727910346</t>
    </r>
  </si>
  <si>
    <r>
      <t xml:space="preserve">Dvojvsuvka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40; kod 727910909</t>
    </r>
  </si>
  <si>
    <r>
      <t xml:space="preserve">Trubka PP-H Ø25x2,3; (DN20; 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
 kod 167480712</t>
    </r>
  </si>
  <si>
    <t>Trubka PP-H Ø32x2,9; (DN25; 1")
kod 167480713</t>
  </si>
  <si>
    <r>
      <t>Trubka PP-H Ø40x3,7; (DN32; 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")
 kod 167480714</t>
    </r>
  </si>
  <si>
    <t>Trubka PP-H Ø63x5,8; (DN50; 2")
 kod 167480716</t>
  </si>
  <si>
    <r>
      <t xml:space="preserve">Trubka PP-H Ø20x1,9; (DN15; 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")
kod 167480711</t>
    </r>
  </si>
  <si>
    <r>
      <t xml:space="preserve">Připojení pojistného ventilu </t>
    </r>
    <r>
      <rPr>
        <i/>
        <vertAlign val="superscript"/>
        <sz val="10"/>
        <rFont val="Arial CE"/>
        <charset val="238"/>
      </rPr>
      <t>1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2</t>
    </r>
    <r>
      <rPr>
        <i/>
        <sz val="10"/>
        <rFont val="Arial CE"/>
        <charset val="238"/>
      </rPr>
      <t xml:space="preserve">" - </t>
    </r>
    <r>
      <rPr>
        <i/>
        <vertAlign val="superscript"/>
        <sz val="10"/>
        <rFont val="Arial CE"/>
        <charset val="238"/>
      </rPr>
      <t>3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4</t>
    </r>
    <r>
      <rPr>
        <i/>
        <sz val="10"/>
        <rFont val="Arial CE"/>
        <charset val="238"/>
      </rPr>
      <t>"</t>
    </r>
  </si>
  <si>
    <r>
      <t>Připojení pojistného ventilu 1</t>
    </r>
    <r>
      <rPr>
        <i/>
        <sz val="10"/>
        <rFont val="Arial CE"/>
        <charset val="238"/>
      </rPr>
      <t>" - 1</t>
    </r>
    <r>
      <rPr>
        <i/>
        <vertAlign val="superscript"/>
        <sz val="10"/>
        <rFont val="Arial CE"/>
        <charset val="238"/>
      </rPr>
      <t>1</t>
    </r>
    <r>
      <rPr>
        <i/>
        <sz val="10"/>
        <rFont val="Arial CE"/>
        <charset val="238"/>
      </rPr>
      <t>/</t>
    </r>
    <r>
      <rPr>
        <i/>
        <vertAlign val="subscript"/>
        <sz val="10"/>
        <rFont val="Arial CE"/>
        <charset val="238"/>
      </rPr>
      <t>4</t>
    </r>
    <r>
      <rPr>
        <i/>
        <sz val="10"/>
        <rFont val="Arial CE"/>
        <charset val="238"/>
      </rPr>
      <t>"</t>
    </r>
  </si>
  <si>
    <r>
      <t xml:space="preserve">Dvojvsuvka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32; kod 727910908</t>
    </r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</si>
  <si>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32</t>
    </r>
    <r>
      <rPr>
        <sz val="10"/>
        <rFont val="Arial CE"/>
        <charset val="238"/>
      </rPr>
      <t>-25; kod 727910341</t>
    </r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</si>
  <si>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-25; kod 727910361</t>
    </r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</si>
  <si>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-32; kod 727910360</t>
    </r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</si>
  <si>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-40; kod 727910359</t>
    </r>
  </si>
  <si>
    <t>Nerezové vodní potrubí</t>
  </si>
  <si>
    <t>Oblouk 3D-90°-76,1x2,0; ČSN EN 10253-1;
materiál DIN 1.4301 (17 248)</t>
  </si>
  <si>
    <t>Trubka svařovaná Ø76,1x2; DIN 17457,
materiál  DIN 1.4301 (17 240)</t>
  </si>
  <si>
    <t>Příruba ČSN EN 1092-1/01 B/DN 65/PN10
Plochá příruba DIN 2576, PN10 
materiál DIN 1.4301 (17 248)</t>
  </si>
  <si>
    <r>
      <t xml:space="preserve">PP Příruba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75</t>
    </r>
    <r>
      <rPr>
        <sz val="10"/>
        <rFont val="Arial CE"/>
        <charset val="238"/>
      </rPr>
      <t>/DN65; kod 727700212</t>
    </r>
  </si>
  <si>
    <r>
      <t xml:space="preserve">Lemový nákružek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75</t>
    </r>
    <r>
      <rPr>
        <sz val="10"/>
        <rFont val="Arial CE"/>
        <charset val="238"/>
      </rPr>
      <t>; kod 727790212</t>
    </r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</si>
  <si>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75</t>
    </r>
    <r>
      <rPr>
        <sz val="10"/>
        <rFont val="Arial CE"/>
        <charset val="238"/>
      </rPr>
      <t>-63; kod 727910364</t>
    </r>
  </si>
  <si>
    <r>
      <t xml:space="preserve">Dvojvsuvka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75; kod 727910912</t>
    </r>
  </si>
  <si>
    <r>
      <t xml:space="preserve">Redukce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40-20; kod 727910348</t>
    </r>
  </si>
  <si>
    <r>
      <t xml:space="preserve">Dvojvsuvka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20; kod 727910906</t>
    </r>
  </si>
  <si>
    <r>
      <t xml:space="preserve">Přechodová spojka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-Rp2"; 
kod 727910211</t>
    </r>
  </si>
  <si>
    <r>
      <t xml:space="preserve">Dvojvsuvka PP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63; kod 727910911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</si>
  <si>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16-R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8</t>
    </r>
    <r>
      <rPr>
        <sz val="10"/>
        <rFont val="Arial CE"/>
        <charset val="238"/>
      </rPr>
      <t>"; 
kod 727910505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</si>
  <si>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20-R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"; 
kod 727910506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</si>
  <si>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25-R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"; 
kod 727910507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</si>
  <si>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32-R1"; 
kod 727910508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</si>
  <si>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>40-R1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4</t>
    </r>
    <r>
      <rPr>
        <sz val="10"/>
        <rFont val="Arial CE"/>
        <charset val="238"/>
      </rPr>
      <t>"; 
kod 727910509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</si>
  <si>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50</t>
    </r>
    <r>
      <rPr>
        <sz val="10"/>
        <rFont val="Arial CE"/>
        <charset val="238"/>
      </rPr>
      <t>-R1</t>
    </r>
    <r>
      <rPr>
        <vertAlign val="superscript"/>
        <sz val="10"/>
        <rFont val="Arial CE"/>
        <charset val="238"/>
      </rPr>
      <t>1</t>
    </r>
    <r>
      <rPr>
        <sz val="10"/>
        <rFont val="Arial CE"/>
        <charset val="238"/>
      </rPr>
      <t>/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"; 
kod 727910510</t>
    </r>
  </si>
  <si>
    <r>
      <t xml:space="preserve">Přechodová vsuvka PP-H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63</t>
    </r>
    <r>
      <rPr>
        <sz val="10"/>
        <rFont val="Arial CE"/>
        <charset val="238"/>
      </rPr>
      <t>-R2"; 
kod 727910511</t>
    </r>
  </si>
  <si>
    <t>Komponenty pro připojení čerpadla P4:</t>
  </si>
  <si>
    <t>Koleno 90° PP Ø75; kod 727100112</t>
  </si>
  <si>
    <t>Izolace  výměníku H2; AlfaNova 76-100H
Alfa Laval</t>
  </si>
  <si>
    <t>Elektroinstalace včetně M+R,
dle samostatného projektu</t>
  </si>
  <si>
    <t>Mantinely - dodávka stavby</t>
  </si>
  <si>
    <t>Ledová plocha - technologie</t>
  </si>
  <si>
    <t>Deskový  chladič olej - voda
Alfa Laval, typ AlfaNova 76-100H včetně opory, hrdla dole
Výkon 97,20 kW
Horká strana: Olej ISO VG68
Vstupní teplota +80 °C
Výstupní teplota +50 °C
Studená strana:Voda
Vstupní teplota +40 °C
Výstupní teplota +60 °C
Výrobce: Alfa Laval, Nabídka: BB-17-0423 z 21.6.2017</t>
  </si>
  <si>
    <t>Axiální ventilátor pro havarijní a provozní větráni ELEKTRODESIGN TCBT/6-500H Ex
obj.kod SP173100090
Průtok Q=4990 m3/h (0 Pa)</t>
  </si>
  <si>
    <t>SLEPÝ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</si>
</sst>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_)"/>
    <numFmt numFmtId="166" formatCode="0.000"/>
    <numFmt numFmtId="167" formatCode="0.0%"/>
    <numFmt numFmtId="168" formatCode="#,##0.000"/>
  </numFmts>
  <fonts count="26" x14ac:knownFonts="1">
    <font>
      <sz val="10"/>
      <name val="Arial CE"/>
      <charset val="238"/>
    </font>
    <font>
      <b/>
      <sz val="10"/>
      <name val="Arial CE"/>
      <charset val="238"/>
    </font>
    <font>
      <vertAlign val="subscript"/>
      <sz val="10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Arial CE"/>
      <family val="2"/>
      <charset val="238"/>
    </font>
    <font>
      <i/>
      <sz val="10"/>
      <name val="Arial CE"/>
      <family val="2"/>
      <charset val="238"/>
    </font>
    <font>
      <sz val="11"/>
      <name val="Arial CE"/>
      <family val="2"/>
      <charset val="238"/>
    </font>
    <font>
      <i/>
      <vertAlign val="subscript"/>
      <sz val="10"/>
      <name val="Arial CE"/>
      <family val="2"/>
      <charset val="238"/>
    </font>
    <font>
      <b/>
      <sz val="11"/>
      <name val="Arial CE"/>
      <family val="2"/>
      <charset val="238"/>
    </font>
    <font>
      <vertAlign val="subscript"/>
      <sz val="10"/>
      <name val="Arial CE"/>
      <charset val="238"/>
    </font>
    <font>
      <b/>
      <vertAlign val="subscript"/>
      <sz val="10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 CE"/>
      <charset val="238"/>
    </font>
    <font>
      <u/>
      <sz val="10"/>
      <name val="Arial CE"/>
      <charset val="238"/>
    </font>
    <font>
      <sz val="10"/>
      <name val="Calibri"/>
      <family val="2"/>
      <charset val="238"/>
    </font>
    <font>
      <i/>
      <sz val="10"/>
      <name val="Arial CE"/>
      <charset val="238"/>
    </font>
    <font>
      <i/>
      <vertAlign val="superscript"/>
      <sz val="10"/>
      <name val="Arial CE"/>
      <charset val="238"/>
    </font>
    <font>
      <i/>
      <vertAlign val="subscript"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3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 indent="1"/>
      <protection locked="0"/>
    </xf>
    <xf numFmtId="3" fontId="0" fillId="0" borderId="0" xfId="0" applyNumberFormat="1" applyAlignment="1">
      <alignment horizontal="centerContinuous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3" fontId="3" fillId="0" borderId="0" xfId="0" applyNumberFormat="1" applyFont="1" applyAlignment="1" applyProtection="1">
      <alignment horizontal="left" vertical="top" wrapText="1" indent="1"/>
      <protection locked="0"/>
    </xf>
    <xf numFmtId="3" fontId="3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3" fontId="0" fillId="0" borderId="0" xfId="0" applyNumberFormat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Continuous" vertical="top"/>
    </xf>
    <xf numFmtId="0" fontId="0" fillId="0" borderId="0" xfId="0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 applyProtection="1">
      <alignment horizontal="left" vertical="top" wrapText="1" indent="1"/>
      <protection locked="0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 applyProtection="1">
      <alignment horizontal="left" vertical="top" wrapText="1" indent="2"/>
      <protection locked="0"/>
    </xf>
    <xf numFmtId="0" fontId="12" fillId="0" borderId="0" xfId="0" applyFont="1" applyAlignment="1">
      <alignment horizontal="left" vertical="center" wrapText="1" indent="1"/>
    </xf>
    <xf numFmtId="2" fontId="3" fillId="0" borderId="0" xfId="0" applyNumberFormat="1" applyFont="1" applyAlignment="1">
      <alignment horizontal="center" vertical="top"/>
    </xf>
    <xf numFmtId="49" fontId="3" fillId="0" borderId="0" xfId="0" quotePrefix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 applyProtection="1">
      <alignment horizontal="left" vertical="center" wrapText="1" indent="1"/>
      <protection locked="0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2" fontId="7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left" vertical="center" indent="1"/>
    </xf>
    <xf numFmtId="16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167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0" fillId="0" borderId="0" xfId="0" applyNumberFormat="1" applyAlignment="1" applyProtection="1">
      <alignment horizontal="left" vertical="center" wrapText="1" indent="1"/>
      <protection locked="0"/>
    </xf>
    <xf numFmtId="3" fontId="15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vertical="top"/>
    </xf>
    <xf numFmtId="49" fontId="3" fillId="0" borderId="0" xfId="0" applyNumberFormat="1" applyFont="1" applyAlignment="1">
      <alignment horizontal="left" vertical="center" wrapText="1" inden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/>
    <xf numFmtId="164" fontId="0" fillId="0" borderId="0" xfId="0" applyNumberFormat="1" applyAlignment="1">
      <alignment horizontal="left" wrapText="1" indent="1"/>
    </xf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top" wrapText="1"/>
    </xf>
    <xf numFmtId="3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4" fontId="13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vertical="top"/>
    </xf>
    <xf numFmtId="3" fontId="0" fillId="0" borderId="0" xfId="0" applyNumberFormat="1" applyAlignment="1" applyProtection="1">
      <alignment horizontal="left" vertical="top" wrapText="1" indent="2"/>
      <protection locked="0"/>
    </xf>
    <xf numFmtId="3" fontId="3" fillId="0" borderId="0" xfId="0" applyNumberFormat="1" applyFont="1" applyAlignment="1" applyProtection="1">
      <alignment horizontal="left" vertical="top" indent="2"/>
      <protection locked="0"/>
    </xf>
    <xf numFmtId="3" fontId="1" fillId="0" borderId="0" xfId="0" applyNumberFormat="1" applyFont="1" applyAlignment="1" applyProtection="1">
      <alignment horizontal="left" vertical="top" wrapText="1" indent="1"/>
      <protection locked="0"/>
    </xf>
    <xf numFmtId="49" fontId="1" fillId="0" borderId="0" xfId="0" applyNumberFormat="1" applyFont="1" applyAlignment="1">
      <alignment horizontal="center" vertical="center"/>
    </xf>
    <xf numFmtId="3" fontId="11" fillId="0" borderId="0" xfId="0" applyNumberFormat="1" applyFont="1" applyAlignment="1" applyProtection="1">
      <alignment horizontal="left" vertical="top" wrapText="1" indent="1"/>
      <protection locked="0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left" vertical="top" wrapText="1" indent="1"/>
    </xf>
    <xf numFmtId="164" fontId="0" fillId="0" borderId="0" xfId="0" applyNumberFormat="1" applyAlignment="1">
      <alignment horizontal="center" vertical="top"/>
    </xf>
    <xf numFmtId="3" fontId="0" fillId="0" borderId="0" xfId="0" applyNumberFormat="1" applyAlignment="1" applyProtection="1">
      <alignment horizontal="center" vertical="top" wrapText="1"/>
      <protection locked="0"/>
    </xf>
    <xf numFmtId="3" fontId="22" fillId="0" borderId="0" xfId="0" applyNumberFormat="1" applyFont="1" applyAlignment="1" applyProtection="1">
      <alignment horizontal="left" vertical="top" indent="1"/>
      <protection locked="0"/>
    </xf>
    <xf numFmtId="0" fontId="25" fillId="0" borderId="0" xfId="0" applyFont="1" applyAlignment="1">
      <alignment horizontal="center" vertical="center"/>
    </xf>
    <xf numFmtId="3" fontId="22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 indent="1"/>
    </xf>
    <xf numFmtId="1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164" fontId="9" fillId="0" borderId="0" xfId="0" applyNumberFormat="1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2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44"/>
  <sheetViews>
    <sheetView tabSelected="1" view="pageBreakPreview" topLeftCell="A25" zoomScaleNormal="100" zoomScaleSheetLayoutView="100" workbookViewId="0">
      <pane ySplit="1155" activePane="bottomLeft"/>
      <selection activeCell="C25" sqref="C25"/>
      <selection pane="bottomLeft" sqref="A1:L1"/>
    </sheetView>
  </sheetViews>
  <sheetFormatPr defaultColWidth="9.7109375" defaultRowHeight="12.75" x14ac:dyDescent="0.2"/>
  <cols>
    <col min="1" max="1" width="10.7109375" style="16" customWidth="1"/>
    <col min="2" max="2" width="40.7109375" style="4" customWidth="1"/>
    <col min="3" max="3" width="8" style="3" customWidth="1"/>
    <col min="4" max="4" width="8.28515625" style="3" customWidth="1"/>
    <col min="5" max="5" width="8.5703125" style="3" customWidth="1"/>
    <col min="6" max="6" width="9.7109375" style="3" customWidth="1"/>
    <col min="7" max="7" width="9.85546875" style="3" customWidth="1"/>
    <col min="8" max="8" width="10.7109375" style="3" customWidth="1"/>
    <col min="9" max="9" width="11.7109375" style="3" customWidth="1"/>
    <col min="10" max="11" width="10.7109375" style="3" customWidth="1"/>
    <col min="12" max="12" width="15.28515625" style="17" customWidth="1"/>
    <col min="13" max="16384" width="9.7109375" style="3"/>
  </cols>
  <sheetData>
    <row r="1" spans="1:12" s="91" customFormat="1" ht="15.75" x14ac:dyDescent="0.2">
      <c r="A1" s="112" t="s">
        <v>506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45" x14ac:dyDescent="0.2">
      <c r="A2" s="20" t="s">
        <v>1</v>
      </c>
      <c r="B2" s="21" t="s">
        <v>2</v>
      </c>
      <c r="C2" s="22" t="s">
        <v>3</v>
      </c>
      <c r="D2" s="22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3" t="s">
        <v>12</v>
      </c>
    </row>
    <row r="3" spans="1:12" x14ac:dyDescent="0.2">
      <c r="A3" s="18"/>
      <c r="B3" s="9" t="s">
        <v>13</v>
      </c>
      <c r="C3" s="24"/>
      <c r="D3" s="24"/>
      <c r="E3" s="24"/>
      <c r="F3" s="24"/>
      <c r="G3" s="24"/>
      <c r="H3" s="24"/>
      <c r="I3" s="24"/>
      <c r="J3" s="24"/>
      <c r="K3" s="24"/>
      <c r="L3" s="19"/>
    </row>
    <row r="4" spans="1:12" x14ac:dyDescent="0.2">
      <c r="A4" s="12" t="s">
        <v>14</v>
      </c>
      <c r="B4" s="6" t="s">
        <v>90</v>
      </c>
      <c r="C4" s="25" t="s">
        <v>91</v>
      </c>
      <c r="D4" s="12">
        <v>1</v>
      </c>
      <c r="E4" s="25"/>
      <c r="F4" s="26">
        <f>F430</f>
        <v>15480</v>
      </c>
      <c r="G4" s="25" t="s">
        <v>91</v>
      </c>
      <c r="H4" s="26">
        <f>J430</f>
        <v>0</v>
      </c>
      <c r="I4" s="26">
        <f>K430</f>
        <v>0</v>
      </c>
      <c r="J4" s="26">
        <f>ROUND(H4,-1)</f>
        <v>0</v>
      </c>
      <c r="K4" s="26">
        <f>ROUND(I4,-1)</f>
        <v>0</v>
      </c>
      <c r="L4" s="26">
        <f>J4+K4</f>
        <v>0</v>
      </c>
    </row>
    <row r="5" spans="1:12" x14ac:dyDescent="0.2">
      <c r="A5" s="12" t="s">
        <v>16</v>
      </c>
      <c r="B5" s="9" t="s">
        <v>503</v>
      </c>
      <c r="C5" s="25" t="s">
        <v>91</v>
      </c>
      <c r="D5" s="12">
        <v>1</v>
      </c>
      <c r="E5" s="25"/>
      <c r="F5" s="26">
        <f>F463</f>
        <v>29450</v>
      </c>
      <c r="G5" s="25" t="s">
        <v>91</v>
      </c>
      <c r="H5" s="26">
        <f>J463</f>
        <v>0</v>
      </c>
      <c r="I5" s="26">
        <f>K463</f>
        <v>0</v>
      </c>
      <c r="J5" s="26">
        <f>ROUND(H5,-1)</f>
        <v>0</v>
      </c>
      <c r="K5" s="26">
        <f>ROUND(I5,-1)</f>
        <v>0</v>
      </c>
      <c r="L5" s="26">
        <f>J5+K5</f>
        <v>0</v>
      </c>
    </row>
    <row r="6" spans="1:12" x14ac:dyDescent="0.2">
      <c r="A6" s="1" t="s">
        <v>17</v>
      </c>
      <c r="B6" s="9" t="s">
        <v>80</v>
      </c>
      <c r="C6" s="25" t="s">
        <v>91</v>
      </c>
      <c r="D6" s="12">
        <v>1</v>
      </c>
      <c r="E6" s="25"/>
      <c r="F6" s="26">
        <f>F487</f>
        <v>1590</v>
      </c>
      <c r="G6" s="25" t="s">
        <v>91</v>
      </c>
      <c r="H6" s="26">
        <f>J487</f>
        <v>0</v>
      </c>
      <c r="I6" s="26">
        <f>K487</f>
        <v>0</v>
      </c>
      <c r="J6" s="26">
        <f>ROUND(H6,-2)</f>
        <v>0</v>
      </c>
      <c r="K6" s="26">
        <f>ROUND(I6,-2)</f>
        <v>0</v>
      </c>
      <c r="L6" s="26">
        <f>J6+K6</f>
        <v>0</v>
      </c>
    </row>
    <row r="7" spans="1:12" ht="25.5" x14ac:dyDescent="0.2">
      <c r="A7" s="12" t="s">
        <v>87</v>
      </c>
      <c r="B7" s="6" t="s">
        <v>501</v>
      </c>
      <c r="C7" s="25" t="s">
        <v>91</v>
      </c>
      <c r="D7" s="12">
        <v>1</v>
      </c>
      <c r="E7" s="25"/>
      <c r="F7" s="26"/>
      <c r="G7" s="25" t="s">
        <v>91</v>
      </c>
      <c r="H7" s="26"/>
      <c r="I7" s="26" t="s">
        <v>18</v>
      </c>
      <c r="J7" s="26"/>
      <c r="K7" s="12" t="s">
        <v>18</v>
      </c>
      <c r="L7" s="26"/>
    </row>
    <row r="8" spans="1:12" x14ac:dyDescent="0.2">
      <c r="A8" s="18" t="s">
        <v>0</v>
      </c>
      <c r="B8" s="9" t="s">
        <v>502</v>
      </c>
      <c r="C8" s="25" t="s">
        <v>91</v>
      </c>
      <c r="D8" s="12">
        <v>1</v>
      </c>
      <c r="E8" s="25"/>
      <c r="F8" s="26"/>
      <c r="G8" s="25" t="s">
        <v>91</v>
      </c>
      <c r="H8" s="26"/>
      <c r="I8" s="26" t="s">
        <v>18</v>
      </c>
      <c r="J8" s="26"/>
      <c r="K8" s="12" t="s">
        <v>18</v>
      </c>
      <c r="L8" s="26"/>
    </row>
    <row r="9" spans="1:12" x14ac:dyDescent="0.2">
      <c r="A9" s="18"/>
      <c r="B9" s="9"/>
      <c r="C9" s="25"/>
      <c r="D9" s="12"/>
      <c r="E9" s="25"/>
      <c r="F9" s="24"/>
      <c r="G9" s="25"/>
      <c r="H9" s="26"/>
      <c r="I9" s="26"/>
      <c r="J9" s="26"/>
      <c r="K9" s="26"/>
      <c r="L9" s="26"/>
    </row>
    <row r="10" spans="1:12" x14ac:dyDescent="0.2">
      <c r="A10" s="18"/>
      <c r="B10" s="9" t="s">
        <v>19</v>
      </c>
      <c r="C10" s="25"/>
      <c r="D10" s="12"/>
      <c r="E10" s="25"/>
      <c r="F10" s="26">
        <f>SUM(F4:F9)</f>
        <v>46520</v>
      </c>
      <c r="G10" s="25"/>
      <c r="H10" s="26"/>
      <c r="I10" s="26"/>
      <c r="J10" s="26">
        <f>SUM(J4:J9)</f>
        <v>0</v>
      </c>
      <c r="K10" s="26">
        <f>SUM(K4:K9)</f>
        <v>0</v>
      </c>
      <c r="L10" s="26">
        <f>SUM(L4:L9)</f>
        <v>0</v>
      </c>
    </row>
    <row r="11" spans="1:12" x14ac:dyDescent="0.2">
      <c r="A11" s="18"/>
      <c r="B11" s="9"/>
      <c r="C11" s="25"/>
      <c r="D11" s="24"/>
      <c r="E11" s="25"/>
      <c r="F11" s="26"/>
      <c r="G11" s="25"/>
      <c r="H11" s="25"/>
      <c r="I11" s="25"/>
      <c r="J11" s="25">
        <f>J10+K10</f>
        <v>0</v>
      </c>
      <c r="K11" s="25"/>
    </row>
    <row r="12" spans="1:12" hidden="1" x14ac:dyDescent="0.2">
      <c r="A12" s="18" t="s">
        <v>30</v>
      </c>
      <c r="B12" s="12" t="s">
        <v>31</v>
      </c>
      <c r="C12" s="26" t="s">
        <v>32</v>
      </c>
      <c r="D12" s="12" t="s">
        <v>33</v>
      </c>
      <c r="E12" s="25" t="s">
        <v>34</v>
      </c>
      <c r="F12" s="24"/>
      <c r="G12" s="26" t="s">
        <v>35</v>
      </c>
      <c r="H12" s="25" t="s">
        <v>36</v>
      </c>
      <c r="I12" s="25"/>
      <c r="J12" s="25" t="s">
        <v>37</v>
      </c>
      <c r="K12" s="25"/>
      <c r="L12" s="25" t="s">
        <v>38</v>
      </c>
    </row>
    <row r="13" spans="1:12" hidden="1" x14ac:dyDescent="0.2">
      <c r="A13" s="18" t="s">
        <v>39</v>
      </c>
      <c r="B13" s="12" t="s">
        <v>40</v>
      </c>
      <c r="C13" s="26" t="s">
        <v>41</v>
      </c>
      <c r="D13" s="12" t="s">
        <v>42</v>
      </c>
      <c r="E13" s="25" t="s">
        <v>43</v>
      </c>
      <c r="F13" s="24"/>
      <c r="G13" s="26" t="s">
        <v>41</v>
      </c>
      <c r="H13" s="25" t="s">
        <v>44</v>
      </c>
      <c r="I13" s="25" t="s">
        <v>45</v>
      </c>
      <c r="J13" s="26" t="s">
        <v>44</v>
      </c>
      <c r="K13" s="26" t="s">
        <v>45</v>
      </c>
      <c r="L13" s="19" t="s">
        <v>46</v>
      </c>
    </row>
    <row r="14" spans="1:12" hidden="1" x14ac:dyDescent="0.2">
      <c r="A14" s="18"/>
      <c r="B14" s="7" t="s">
        <v>21</v>
      </c>
      <c r="C14" s="26" t="s">
        <v>22</v>
      </c>
      <c r="D14" s="12">
        <f>4</f>
        <v>4</v>
      </c>
      <c r="E14" s="25">
        <f>H10</f>
        <v>0</v>
      </c>
      <c r="F14" s="24"/>
      <c r="G14" s="26" t="s">
        <v>22</v>
      </c>
      <c r="H14" s="26">
        <f>D14*E14/100</f>
        <v>0</v>
      </c>
      <c r="I14" s="26"/>
      <c r="J14" s="26">
        <f>ROUND(H14,-3)</f>
        <v>0</v>
      </c>
      <c r="K14" s="26"/>
      <c r="L14" s="26">
        <f>J14+K14</f>
        <v>0</v>
      </c>
    </row>
    <row r="15" spans="1:12" hidden="1" x14ac:dyDescent="0.2">
      <c r="A15" s="18"/>
      <c r="B15" s="7" t="s">
        <v>23</v>
      </c>
      <c r="C15" s="26" t="s">
        <v>24</v>
      </c>
      <c r="D15" s="12">
        <f>F10/100</f>
        <v>465.2</v>
      </c>
      <c r="E15" s="25">
        <v>20</v>
      </c>
      <c r="F15" s="24"/>
      <c r="G15" s="26" t="s">
        <v>24</v>
      </c>
      <c r="H15" s="26"/>
      <c r="I15" s="26">
        <f>D15*E15</f>
        <v>9304</v>
      </c>
      <c r="J15" s="26"/>
      <c r="K15" s="26">
        <f>ROUND(I15,-2)</f>
        <v>9300</v>
      </c>
      <c r="L15" s="26">
        <f t="shared" ref="L15:L21" si="0">J15+K15</f>
        <v>9300</v>
      </c>
    </row>
    <row r="16" spans="1:12" hidden="1" x14ac:dyDescent="0.2">
      <c r="A16" s="18"/>
      <c r="B16" s="7" t="s">
        <v>25</v>
      </c>
      <c r="C16" s="26" t="s">
        <v>22</v>
      </c>
      <c r="D16" s="12">
        <v>1</v>
      </c>
      <c r="E16" s="25">
        <f>I10</f>
        <v>0</v>
      </c>
      <c r="F16" s="30"/>
      <c r="G16" s="26" t="s">
        <v>22</v>
      </c>
      <c r="H16" s="26"/>
      <c r="I16" s="26">
        <f>D16*E16/100</f>
        <v>0</v>
      </c>
      <c r="J16" s="26"/>
      <c r="K16" s="26">
        <f>ROUND(I16,-2)</f>
        <v>0</v>
      </c>
      <c r="L16" s="26">
        <f t="shared" si="0"/>
        <v>0</v>
      </c>
    </row>
    <row r="17" spans="1:13" hidden="1" x14ac:dyDescent="0.2">
      <c r="A17" s="18"/>
      <c r="B17" s="7" t="s">
        <v>26</v>
      </c>
      <c r="C17" s="26" t="s">
        <v>22</v>
      </c>
      <c r="D17" s="12">
        <v>1.6</v>
      </c>
      <c r="E17" s="25">
        <f>E16</f>
        <v>0</v>
      </c>
      <c r="F17" s="30"/>
      <c r="G17" s="26" t="s">
        <v>22</v>
      </c>
      <c r="H17" s="26"/>
      <c r="I17" s="26">
        <f>D17*E17/100</f>
        <v>0</v>
      </c>
      <c r="J17" s="26"/>
      <c r="K17" s="26">
        <f>ROUND(I17,-2)</f>
        <v>0</v>
      </c>
      <c r="L17" s="26">
        <f t="shared" si="0"/>
        <v>0</v>
      </c>
    </row>
    <row r="18" spans="1:13" hidden="1" x14ac:dyDescent="0.2">
      <c r="A18" s="18"/>
      <c r="B18" s="7" t="s">
        <v>47</v>
      </c>
      <c r="C18" s="25"/>
      <c r="D18" s="24"/>
      <c r="E18" s="25"/>
      <c r="F18" s="24"/>
      <c r="G18" s="25"/>
      <c r="H18" s="25"/>
      <c r="I18" s="25"/>
      <c r="J18" s="26">
        <f>J10</f>
        <v>0</v>
      </c>
      <c r="K18" s="25">
        <f>K10</f>
        <v>0</v>
      </c>
      <c r="L18" s="26">
        <f t="shared" si="0"/>
        <v>0</v>
      </c>
    </row>
    <row r="19" spans="1:13" hidden="1" x14ac:dyDescent="0.2">
      <c r="A19" s="18"/>
      <c r="B19" s="31" t="s">
        <v>27</v>
      </c>
      <c r="C19" s="25"/>
      <c r="D19" s="24"/>
      <c r="E19" s="25"/>
      <c r="F19" s="24"/>
      <c r="G19" s="25"/>
      <c r="H19" s="25"/>
      <c r="I19" s="25"/>
      <c r="J19" s="29">
        <f>SUM(J14:J18)</f>
        <v>0</v>
      </c>
      <c r="K19" s="29">
        <f>SUM(K14:K18)</f>
        <v>9300</v>
      </c>
      <c r="L19" s="29">
        <f t="shared" si="0"/>
        <v>9300</v>
      </c>
    </row>
    <row r="20" spans="1:13" hidden="1" x14ac:dyDescent="0.2">
      <c r="A20" s="18"/>
      <c r="B20" s="7" t="s">
        <v>28</v>
      </c>
      <c r="C20" s="26" t="s">
        <v>22</v>
      </c>
      <c r="D20" s="12">
        <v>8</v>
      </c>
      <c r="E20" s="25">
        <f>K19</f>
        <v>9300</v>
      </c>
      <c r="F20" s="24"/>
      <c r="G20" s="26" t="s">
        <v>22</v>
      </c>
      <c r="H20" s="26"/>
      <c r="I20" s="26">
        <f>D20*E20/100</f>
        <v>744</v>
      </c>
      <c r="J20" s="26"/>
      <c r="K20" s="26">
        <f>ROUND(I20,-3)</f>
        <v>1000</v>
      </c>
      <c r="L20" s="26"/>
    </row>
    <row r="21" spans="1:13" hidden="1" x14ac:dyDescent="0.2">
      <c r="A21" s="18"/>
      <c r="B21" s="31" t="s">
        <v>29</v>
      </c>
      <c r="C21" s="25"/>
      <c r="D21" s="24"/>
      <c r="E21" s="25"/>
      <c r="F21" s="24"/>
      <c r="G21" s="25"/>
      <c r="H21" s="25"/>
      <c r="I21" s="25"/>
      <c r="J21" s="29"/>
      <c r="K21" s="29">
        <f>K20</f>
        <v>1000</v>
      </c>
      <c r="L21" s="29">
        <f t="shared" si="0"/>
        <v>1000</v>
      </c>
    </row>
    <row r="22" spans="1:13" x14ac:dyDescent="0.2">
      <c r="A22" s="18"/>
      <c r="B22" s="31"/>
      <c r="C22" s="25"/>
      <c r="D22" s="24"/>
      <c r="E22" s="25"/>
      <c r="F22" s="24"/>
      <c r="G22" s="25"/>
      <c r="H22" s="25"/>
      <c r="I22" s="25"/>
      <c r="J22" s="29"/>
      <c r="K22" s="29"/>
      <c r="L22" s="29"/>
    </row>
    <row r="23" spans="1:13" x14ac:dyDescent="0.2">
      <c r="A23" s="18"/>
      <c r="B23" s="7"/>
      <c r="C23" s="32"/>
      <c r="D23" s="24"/>
      <c r="E23" s="24"/>
      <c r="F23" s="24"/>
      <c r="G23" s="24"/>
      <c r="H23" s="33"/>
      <c r="I23" s="24"/>
      <c r="J23" s="33"/>
      <c r="K23" s="32"/>
      <c r="L23" s="19"/>
    </row>
    <row r="24" spans="1:13" s="91" customFormat="1" ht="15.75" x14ac:dyDescent="0.2">
      <c r="A24" s="112" t="s">
        <v>506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13" ht="45" x14ac:dyDescent="0.2">
      <c r="A25" s="20" t="s">
        <v>20</v>
      </c>
      <c r="B25" s="34" t="s">
        <v>48</v>
      </c>
      <c r="C25" s="22" t="s">
        <v>3</v>
      </c>
      <c r="D25" s="22" t="s">
        <v>4</v>
      </c>
      <c r="E25" s="21" t="s">
        <v>5</v>
      </c>
      <c r="F25" s="21" t="s">
        <v>6</v>
      </c>
      <c r="G25" s="21" t="s">
        <v>7</v>
      </c>
      <c r="H25" s="21" t="s">
        <v>49</v>
      </c>
      <c r="I25" s="21" t="s">
        <v>50</v>
      </c>
      <c r="J25" s="21" t="s">
        <v>51</v>
      </c>
      <c r="K25" s="21" t="s">
        <v>52</v>
      </c>
      <c r="L25" s="23" t="s">
        <v>53</v>
      </c>
    </row>
    <row r="26" spans="1:13" x14ac:dyDescent="0.2">
      <c r="B26" s="9"/>
      <c r="C26" s="1"/>
      <c r="D26" s="1"/>
      <c r="E26" s="1"/>
      <c r="F26" s="12"/>
      <c r="G26" s="12"/>
      <c r="H26" s="11"/>
      <c r="I26" s="11"/>
      <c r="J26" s="11"/>
      <c r="K26" s="11"/>
      <c r="L26" s="11"/>
    </row>
    <row r="27" spans="1:13" s="37" customFormat="1" ht="15.75" x14ac:dyDescent="0.2">
      <c r="A27" s="35" t="str">
        <f>A4</f>
        <v>I</v>
      </c>
      <c r="B27" s="36" t="str">
        <f>B4</f>
        <v>Strojovna chlazení</v>
      </c>
      <c r="H27" s="38"/>
      <c r="I27" s="38"/>
      <c r="J27" s="38"/>
      <c r="K27" s="38"/>
      <c r="L27" s="38"/>
    </row>
    <row r="28" spans="1:13" x14ac:dyDescent="0.2">
      <c r="B28" s="39"/>
      <c r="C28" s="15"/>
      <c r="D28" s="15"/>
      <c r="E28" s="15"/>
      <c r="F28" s="15"/>
      <c r="G28" s="15"/>
      <c r="H28" s="11"/>
      <c r="I28" s="11"/>
      <c r="J28" s="11"/>
      <c r="K28" s="11"/>
      <c r="L28" s="11"/>
    </row>
    <row r="29" spans="1:13" x14ac:dyDescent="0.2">
      <c r="A29" s="95" t="s">
        <v>169</v>
      </c>
      <c r="B29" s="5" t="s">
        <v>54</v>
      </c>
      <c r="C29" s="15"/>
      <c r="D29" s="15"/>
      <c r="E29" s="15"/>
      <c r="F29" s="15"/>
      <c r="G29" s="15"/>
      <c r="H29" s="11"/>
      <c r="I29" s="11"/>
      <c r="J29" s="11"/>
      <c r="K29" s="11"/>
      <c r="L29" s="11"/>
    </row>
    <row r="30" spans="1:13" ht="190.5" x14ac:dyDescent="0.2">
      <c r="A30" s="61" t="s">
        <v>124</v>
      </c>
      <c r="B30" s="40" t="s">
        <v>374</v>
      </c>
      <c r="C30" s="41" t="s">
        <v>55</v>
      </c>
      <c r="D30" s="45">
        <v>1</v>
      </c>
      <c r="E30" s="41">
        <v>4280</v>
      </c>
      <c r="F30" s="41">
        <f t="shared" ref="F30:F35" si="1">D30*E30</f>
        <v>4280</v>
      </c>
      <c r="G30" s="41" t="s">
        <v>55</v>
      </c>
      <c r="H30" s="41"/>
      <c r="I30" s="41"/>
      <c r="J30" s="41">
        <f t="shared" ref="J30:K35" si="2">$D30*H30</f>
        <v>0</v>
      </c>
      <c r="K30" s="41">
        <f t="shared" si="2"/>
        <v>0</v>
      </c>
      <c r="L30" s="41">
        <f t="shared" ref="L30:L35" si="3">J30+K30</f>
        <v>0</v>
      </c>
      <c r="M30" s="43"/>
    </row>
    <row r="31" spans="1:13" ht="95.25" x14ac:dyDescent="0.2">
      <c r="A31" s="61" t="s">
        <v>182</v>
      </c>
      <c r="B31" s="44" t="s">
        <v>409</v>
      </c>
      <c r="C31" s="42" t="s">
        <v>55</v>
      </c>
      <c r="D31" s="47">
        <v>1</v>
      </c>
      <c r="E31" s="47">
        <v>2700</v>
      </c>
      <c r="F31" s="47">
        <f t="shared" si="1"/>
        <v>2700</v>
      </c>
      <c r="G31" s="42" t="s">
        <v>55</v>
      </c>
      <c r="H31" s="41"/>
      <c r="I31" s="41"/>
      <c r="J31" s="42">
        <f t="shared" si="2"/>
        <v>0</v>
      </c>
      <c r="K31" s="42">
        <f t="shared" si="2"/>
        <v>0</v>
      </c>
      <c r="L31" s="41">
        <f t="shared" si="3"/>
        <v>0</v>
      </c>
    </row>
    <row r="32" spans="1:13" s="81" customFormat="1" ht="63.75" x14ac:dyDescent="0.2">
      <c r="A32" s="97" t="s">
        <v>92</v>
      </c>
      <c r="B32" s="44" t="s">
        <v>426</v>
      </c>
      <c r="C32" s="41" t="s">
        <v>55</v>
      </c>
      <c r="D32" s="46">
        <v>1</v>
      </c>
      <c r="E32" s="45">
        <f>37</f>
        <v>37</v>
      </c>
      <c r="F32" s="41">
        <f>D32*E32</f>
        <v>37</v>
      </c>
      <c r="G32" s="83" t="s">
        <v>55</v>
      </c>
      <c r="H32" s="42"/>
      <c r="I32" s="41"/>
      <c r="J32" s="41">
        <f>$D32*H32</f>
        <v>0</v>
      </c>
      <c r="K32" s="41">
        <f>$D32*I32</f>
        <v>0</v>
      </c>
      <c r="L32" s="41">
        <f>J32+K32</f>
        <v>0</v>
      </c>
    </row>
    <row r="33" spans="1:244" s="43" customFormat="1" ht="52.5" x14ac:dyDescent="0.2">
      <c r="A33" s="97" t="s">
        <v>152</v>
      </c>
      <c r="B33" s="40" t="s">
        <v>410</v>
      </c>
      <c r="C33" s="41" t="s">
        <v>55</v>
      </c>
      <c r="D33" s="76">
        <v>1</v>
      </c>
      <c r="E33" s="45">
        <v>2060</v>
      </c>
      <c r="F33" s="41">
        <f t="shared" si="1"/>
        <v>2060</v>
      </c>
      <c r="G33" s="41" t="s">
        <v>55</v>
      </c>
      <c r="H33" s="41"/>
      <c r="I33" s="41"/>
      <c r="J33" s="41">
        <f t="shared" si="2"/>
        <v>0</v>
      </c>
      <c r="K33" s="41">
        <f t="shared" si="2"/>
        <v>0</v>
      </c>
      <c r="L33" s="41">
        <f t="shared" si="3"/>
        <v>0</v>
      </c>
    </row>
    <row r="34" spans="1:244" s="81" customFormat="1" ht="39.75" x14ac:dyDescent="0.2">
      <c r="A34" s="97" t="s">
        <v>153</v>
      </c>
      <c r="B34" s="40" t="s">
        <v>411</v>
      </c>
      <c r="C34" s="41" t="s">
        <v>55</v>
      </c>
      <c r="D34" s="41">
        <v>1</v>
      </c>
      <c r="E34" s="45">
        <v>141</v>
      </c>
      <c r="F34" s="45">
        <f>D34*E34</f>
        <v>141</v>
      </c>
      <c r="G34" s="41" t="s">
        <v>55</v>
      </c>
      <c r="H34" s="41"/>
      <c r="I34" s="41"/>
      <c r="J34" s="41">
        <f>$D34*H34</f>
        <v>0</v>
      </c>
      <c r="K34" s="41">
        <f>$D34*I34</f>
        <v>0</v>
      </c>
      <c r="L34" s="41">
        <f>J34+K34</f>
        <v>0</v>
      </c>
    </row>
    <row r="35" spans="1:244" ht="55.5" x14ac:dyDescent="0.2">
      <c r="A35" s="61" t="s">
        <v>151</v>
      </c>
      <c r="B35" s="79" t="s">
        <v>389</v>
      </c>
      <c r="C35" s="42" t="s">
        <v>55</v>
      </c>
      <c r="D35" s="47">
        <v>2</v>
      </c>
      <c r="E35" s="47">
        <v>113</v>
      </c>
      <c r="F35" s="42">
        <f t="shared" si="1"/>
        <v>226</v>
      </c>
      <c r="G35" s="42" t="s">
        <v>55</v>
      </c>
      <c r="H35" s="41"/>
      <c r="I35" s="41"/>
      <c r="J35" s="42">
        <f t="shared" si="2"/>
        <v>0</v>
      </c>
      <c r="K35" s="42">
        <f t="shared" si="2"/>
        <v>0</v>
      </c>
      <c r="L35" s="41">
        <f t="shared" si="3"/>
        <v>0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</row>
    <row r="36" spans="1:244" s="81" customFormat="1" ht="51" x14ac:dyDescent="0.2">
      <c r="A36" s="97" t="s">
        <v>422</v>
      </c>
      <c r="B36" s="40" t="s">
        <v>505</v>
      </c>
      <c r="C36" s="41" t="s">
        <v>55</v>
      </c>
      <c r="D36" s="41">
        <v>2</v>
      </c>
      <c r="E36" s="45">
        <v>24.8</v>
      </c>
      <c r="F36" s="45">
        <f>D36*E36</f>
        <v>49.6</v>
      </c>
      <c r="G36" s="41" t="s">
        <v>55</v>
      </c>
      <c r="H36" s="41"/>
      <c r="I36" s="41"/>
      <c r="J36" s="41">
        <f t="shared" ref="J36:K38" si="4">$D36*H36</f>
        <v>0</v>
      </c>
      <c r="K36" s="41">
        <f t="shared" si="4"/>
        <v>0</v>
      </c>
      <c r="L36" s="41">
        <f>J36+K36</f>
        <v>0</v>
      </c>
    </row>
    <row r="37" spans="1:244" s="81" customFormat="1" ht="25.5" x14ac:dyDescent="0.2">
      <c r="A37" s="54"/>
      <c r="B37" s="56" t="s">
        <v>420</v>
      </c>
      <c r="C37" s="41" t="s">
        <v>55</v>
      </c>
      <c r="D37" s="41">
        <f>D36</f>
        <v>2</v>
      </c>
      <c r="E37" s="45">
        <v>1</v>
      </c>
      <c r="F37" s="41">
        <f>D37*E37</f>
        <v>2</v>
      </c>
      <c r="G37" s="41" t="s">
        <v>55</v>
      </c>
      <c r="H37" s="41"/>
      <c r="I37" s="41"/>
      <c r="J37" s="41">
        <f t="shared" si="4"/>
        <v>0</v>
      </c>
      <c r="K37" s="41">
        <f t="shared" si="4"/>
        <v>0</v>
      </c>
      <c r="L37" s="41">
        <f>J37+K37</f>
        <v>0</v>
      </c>
    </row>
    <row r="38" spans="1:244" s="81" customFormat="1" ht="25.5" x14ac:dyDescent="0.2">
      <c r="A38" s="54"/>
      <c r="B38" s="56" t="s">
        <v>421</v>
      </c>
      <c r="C38" s="41" t="s">
        <v>55</v>
      </c>
      <c r="D38" s="41">
        <f>D36</f>
        <v>2</v>
      </c>
      <c r="E38" s="45">
        <v>1</v>
      </c>
      <c r="F38" s="41">
        <f>D38*E38</f>
        <v>2</v>
      </c>
      <c r="G38" s="41" t="s">
        <v>55</v>
      </c>
      <c r="H38" s="41"/>
      <c r="I38" s="41"/>
      <c r="J38" s="41">
        <f t="shared" si="4"/>
        <v>0</v>
      </c>
      <c r="K38" s="41">
        <f t="shared" si="4"/>
        <v>0</v>
      </c>
      <c r="L38" s="41">
        <f>J38+K38</f>
        <v>0</v>
      </c>
    </row>
    <row r="39" spans="1:244" x14ac:dyDescent="0.2">
      <c r="A39" s="82"/>
      <c r="B39" s="79"/>
      <c r="C39" s="42"/>
      <c r="D39" s="47"/>
      <c r="E39" s="47"/>
      <c r="F39" s="42"/>
      <c r="G39" s="42"/>
      <c r="H39" s="41"/>
      <c r="I39" s="41"/>
      <c r="J39" s="42"/>
      <c r="K39" s="42"/>
      <c r="L39" s="41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</row>
    <row r="40" spans="1:244" x14ac:dyDescent="0.2">
      <c r="A40" s="95" t="s">
        <v>184</v>
      </c>
      <c r="B40" s="5" t="s">
        <v>185</v>
      </c>
      <c r="C40" s="15"/>
      <c r="D40" s="15"/>
      <c r="E40" s="15"/>
      <c r="F40" s="15"/>
      <c r="G40" s="15"/>
      <c r="H40" s="11"/>
      <c r="I40" s="11"/>
      <c r="J40" s="11"/>
      <c r="K40" s="11"/>
      <c r="L40" s="11"/>
    </row>
    <row r="41" spans="1:244" s="81" customFormat="1" ht="138" x14ac:dyDescent="0.2">
      <c r="A41" s="97" t="s">
        <v>186</v>
      </c>
      <c r="B41" s="98" t="s">
        <v>412</v>
      </c>
      <c r="C41" s="99" t="s">
        <v>55</v>
      </c>
      <c r="D41" s="99">
        <v>1</v>
      </c>
      <c r="E41" s="45">
        <v>105</v>
      </c>
      <c r="F41" s="99">
        <f t="shared" ref="F41:F51" si="5">D41*E41</f>
        <v>105</v>
      </c>
      <c r="G41" s="83" t="s">
        <v>55</v>
      </c>
      <c r="H41" s="42"/>
      <c r="I41" s="41"/>
      <c r="J41" s="42">
        <f t="shared" ref="J41:K52" si="6">$D41*H41</f>
        <v>0</v>
      </c>
      <c r="K41" s="42">
        <f t="shared" si="6"/>
        <v>0</v>
      </c>
      <c r="L41" s="42">
        <f t="shared" ref="L41:L47" si="7">J41+K41</f>
        <v>0</v>
      </c>
    </row>
    <row r="42" spans="1:244" s="81" customFormat="1" ht="63.75" x14ac:dyDescent="0.2">
      <c r="A42" s="97" t="s">
        <v>194</v>
      </c>
      <c r="B42" s="44" t="s">
        <v>427</v>
      </c>
      <c r="C42" s="41" t="s">
        <v>55</v>
      </c>
      <c r="D42" s="46">
        <v>1</v>
      </c>
      <c r="E42" s="45">
        <f>41</f>
        <v>41</v>
      </c>
      <c r="F42" s="41">
        <f t="shared" si="5"/>
        <v>41</v>
      </c>
      <c r="G42" s="41" t="s">
        <v>55</v>
      </c>
      <c r="H42" s="41"/>
      <c r="I42" s="41"/>
      <c r="J42" s="41">
        <f t="shared" si="6"/>
        <v>0</v>
      </c>
      <c r="K42" s="41">
        <f t="shared" si="6"/>
        <v>0</v>
      </c>
      <c r="L42" s="41">
        <f t="shared" si="7"/>
        <v>0</v>
      </c>
    </row>
    <row r="43" spans="1:244" s="81" customFormat="1" ht="89.25" x14ac:dyDescent="0.2">
      <c r="A43" s="97" t="s">
        <v>195</v>
      </c>
      <c r="B43" s="44" t="s">
        <v>413</v>
      </c>
      <c r="C43" s="41" t="s">
        <v>55</v>
      </c>
      <c r="D43" s="41">
        <v>1</v>
      </c>
      <c r="E43" s="45">
        <v>5.7</v>
      </c>
      <c r="F43" s="41">
        <f>D43*E43</f>
        <v>5.7</v>
      </c>
      <c r="G43" s="41" t="s">
        <v>55</v>
      </c>
      <c r="H43" s="41"/>
      <c r="I43" s="41"/>
      <c r="J43" s="41">
        <f>$D43*H43</f>
        <v>0</v>
      </c>
      <c r="K43" s="41">
        <f>$D43*I43</f>
        <v>0</v>
      </c>
      <c r="L43" s="41">
        <f>J43+K43</f>
        <v>0</v>
      </c>
    </row>
    <row r="44" spans="1:244" s="81" customFormat="1" ht="103.5" x14ac:dyDescent="0.2">
      <c r="A44" s="97" t="s">
        <v>187</v>
      </c>
      <c r="B44" s="44" t="s">
        <v>375</v>
      </c>
      <c r="C44" s="41" t="s">
        <v>55</v>
      </c>
      <c r="D44" s="45">
        <v>1</v>
      </c>
      <c r="E44" s="45">
        <v>105</v>
      </c>
      <c r="F44" s="45">
        <f t="shared" si="5"/>
        <v>105</v>
      </c>
      <c r="G44" s="41" t="s">
        <v>55</v>
      </c>
      <c r="H44" s="41"/>
      <c r="I44" s="41"/>
      <c r="J44" s="41">
        <f t="shared" si="6"/>
        <v>0</v>
      </c>
      <c r="K44" s="41">
        <f t="shared" si="6"/>
        <v>0</v>
      </c>
      <c r="L44" s="41">
        <f t="shared" si="7"/>
        <v>0</v>
      </c>
    </row>
    <row r="45" spans="1:244" s="81" customFormat="1" ht="153" x14ac:dyDescent="0.2">
      <c r="A45" s="97" t="s">
        <v>188</v>
      </c>
      <c r="B45" s="98" t="s">
        <v>504</v>
      </c>
      <c r="C45" s="99" t="s">
        <v>55</v>
      </c>
      <c r="D45" s="99">
        <v>1</v>
      </c>
      <c r="E45" s="99">
        <v>58</v>
      </c>
      <c r="F45" s="99">
        <f t="shared" si="5"/>
        <v>58</v>
      </c>
      <c r="G45" s="83" t="s">
        <v>55</v>
      </c>
      <c r="H45" s="42"/>
      <c r="I45" s="41"/>
      <c r="J45" s="42">
        <f t="shared" si="6"/>
        <v>0</v>
      </c>
      <c r="K45" s="42">
        <f t="shared" si="6"/>
        <v>0</v>
      </c>
      <c r="L45" s="42">
        <f t="shared" si="7"/>
        <v>0</v>
      </c>
    </row>
    <row r="46" spans="1:244" s="81" customFormat="1" ht="170.25" x14ac:dyDescent="0.2">
      <c r="A46" s="16" t="s">
        <v>189</v>
      </c>
      <c r="B46" s="44" t="s">
        <v>376</v>
      </c>
      <c r="C46" s="42" t="s">
        <v>55</v>
      </c>
      <c r="D46" s="47">
        <v>1</v>
      </c>
      <c r="E46" s="42">
        <v>872</v>
      </c>
      <c r="F46" s="42">
        <f t="shared" si="5"/>
        <v>872</v>
      </c>
      <c r="G46" s="41" t="s">
        <v>55</v>
      </c>
      <c r="H46" s="41"/>
      <c r="I46" s="41"/>
      <c r="J46" s="42">
        <f t="shared" si="6"/>
        <v>0</v>
      </c>
      <c r="K46" s="42">
        <f t="shared" si="6"/>
        <v>0</v>
      </c>
      <c r="L46" s="41">
        <f t="shared" si="7"/>
        <v>0</v>
      </c>
    </row>
    <row r="47" spans="1:244" ht="92.25" x14ac:dyDescent="0.2">
      <c r="A47" s="61" t="s">
        <v>190</v>
      </c>
      <c r="B47" s="44" t="s">
        <v>406</v>
      </c>
      <c r="C47" s="42" t="s">
        <v>55</v>
      </c>
      <c r="D47" s="47">
        <v>2</v>
      </c>
      <c r="E47" s="47">
        <v>25.5</v>
      </c>
      <c r="F47" s="42">
        <f t="shared" si="5"/>
        <v>51</v>
      </c>
      <c r="G47" s="42" t="s">
        <v>55</v>
      </c>
      <c r="H47" s="41"/>
      <c r="I47" s="41"/>
      <c r="J47" s="42">
        <f t="shared" si="6"/>
        <v>0</v>
      </c>
      <c r="K47" s="42">
        <f>$D47*I47</f>
        <v>0</v>
      </c>
      <c r="L47" s="41">
        <f t="shared" si="7"/>
        <v>0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</row>
    <row r="48" spans="1:244" ht="90.75" x14ac:dyDescent="0.2">
      <c r="A48" s="61" t="s">
        <v>191</v>
      </c>
      <c r="B48" s="44" t="s">
        <v>408</v>
      </c>
      <c r="C48" s="42" t="s">
        <v>55</v>
      </c>
      <c r="D48" s="47">
        <v>1</v>
      </c>
      <c r="E48" s="47">
        <v>26.6</v>
      </c>
      <c r="F48" s="42">
        <f>D48*E48</f>
        <v>26.6</v>
      </c>
      <c r="G48" s="42" t="s">
        <v>55</v>
      </c>
      <c r="H48" s="41"/>
      <c r="I48" s="41"/>
      <c r="J48" s="42">
        <f>$D48*H48</f>
        <v>0</v>
      </c>
      <c r="K48" s="42">
        <f>$D48*I48</f>
        <v>0</v>
      </c>
      <c r="L48" s="41">
        <f t="shared" ref="L48:L53" si="8">J48+K48</f>
        <v>0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</row>
    <row r="49" spans="1:244" ht="76.5" x14ac:dyDescent="0.2">
      <c r="A49" s="61" t="s">
        <v>405</v>
      </c>
      <c r="B49" s="44" t="s">
        <v>407</v>
      </c>
      <c r="C49" s="41" t="s">
        <v>55</v>
      </c>
      <c r="D49" s="46">
        <v>1</v>
      </c>
      <c r="E49" s="45">
        <v>61</v>
      </c>
      <c r="F49" s="41">
        <f>D49*E49</f>
        <v>61</v>
      </c>
      <c r="G49" s="41" t="s">
        <v>55</v>
      </c>
      <c r="H49" s="42"/>
      <c r="I49" s="41"/>
      <c r="J49" s="41">
        <f t="shared" si="6"/>
        <v>0</v>
      </c>
      <c r="K49" s="41">
        <f t="shared" si="6"/>
        <v>0</v>
      </c>
      <c r="L49" s="41">
        <f t="shared" si="8"/>
        <v>0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</row>
    <row r="50" spans="1:244" s="81" customFormat="1" ht="52.5" x14ac:dyDescent="0.2">
      <c r="A50" s="97" t="s">
        <v>193</v>
      </c>
      <c r="B50" s="44" t="s">
        <v>192</v>
      </c>
      <c r="C50" s="41" t="s">
        <v>55</v>
      </c>
      <c r="D50" s="46">
        <v>1</v>
      </c>
      <c r="E50" s="45">
        <v>10.6</v>
      </c>
      <c r="F50" s="41">
        <f t="shared" si="5"/>
        <v>10.6</v>
      </c>
      <c r="G50" s="83" t="s">
        <v>55</v>
      </c>
      <c r="H50" s="41"/>
      <c r="I50" s="41"/>
      <c r="J50" s="41">
        <f t="shared" si="6"/>
        <v>0</v>
      </c>
      <c r="K50" s="41">
        <f t="shared" si="6"/>
        <v>0</v>
      </c>
      <c r="L50" s="41">
        <f t="shared" si="8"/>
        <v>0</v>
      </c>
    </row>
    <row r="51" spans="1:244" s="43" customFormat="1" ht="76.5" x14ac:dyDescent="0.2">
      <c r="A51" s="97" t="s">
        <v>196</v>
      </c>
      <c r="B51" s="44" t="s">
        <v>377</v>
      </c>
      <c r="C51" s="41" t="s">
        <v>55</v>
      </c>
      <c r="D51" s="46">
        <v>1</v>
      </c>
      <c r="E51" s="45">
        <v>18.399999999999999</v>
      </c>
      <c r="F51" s="41">
        <f t="shared" si="5"/>
        <v>18.399999999999999</v>
      </c>
      <c r="G51" s="41" t="s">
        <v>55</v>
      </c>
      <c r="H51" s="41"/>
      <c r="I51" s="41"/>
      <c r="J51" s="41">
        <f t="shared" si="6"/>
        <v>0</v>
      </c>
      <c r="K51" s="41">
        <f t="shared" si="6"/>
        <v>0</v>
      </c>
      <c r="L51" s="41">
        <f t="shared" si="8"/>
        <v>0</v>
      </c>
    </row>
    <row r="52" spans="1:244" s="81" customFormat="1" ht="25.5" x14ac:dyDescent="0.2">
      <c r="A52" s="97" t="s">
        <v>373</v>
      </c>
      <c r="B52" s="44" t="s">
        <v>428</v>
      </c>
      <c r="C52" s="42" t="s">
        <v>55</v>
      </c>
      <c r="D52" s="46">
        <v>1</v>
      </c>
      <c r="E52" s="45">
        <v>8.8000000000000007</v>
      </c>
      <c r="F52" s="45">
        <f>D52*E52</f>
        <v>8.8000000000000007</v>
      </c>
      <c r="G52" s="41" t="s">
        <v>55</v>
      </c>
      <c r="H52" s="41"/>
      <c r="I52" s="41"/>
      <c r="J52" s="42">
        <f t="shared" si="6"/>
        <v>0</v>
      </c>
      <c r="K52" s="42">
        <f t="shared" si="6"/>
        <v>0</v>
      </c>
      <c r="L52" s="41">
        <f t="shared" si="8"/>
        <v>0</v>
      </c>
    </row>
    <row r="53" spans="1:244" s="81" customFormat="1" ht="25.5" x14ac:dyDescent="0.2">
      <c r="A53" s="97" t="s">
        <v>416</v>
      </c>
      <c r="B53" s="98" t="s">
        <v>423</v>
      </c>
      <c r="C53" s="99" t="s">
        <v>55</v>
      </c>
      <c r="D53" s="99">
        <v>1</v>
      </c>
      <c r="E53" s="45">
        <v>175</v>
      </c>
      <c r="F53" s="99">
        <f>D53*E53</f>
        <v>175</v>
      </c>
      <c r="G53" s="83" t="s">
        <v>55</v>
      </c>
      <c r="H53" s="42"/>
      <c r="I53" s="41"/>
      <c r="J53" s="42">
        <f>$D53*H53</f>
        <v>0</v>
      </c>
      <c r="K53" s="42">
        <f>$D53*I53</f>
        <v>0</v>
      </c>
      <c r="L53" s="42">
        <f t="shared" si="8"/>
        <v>0</v>
      </c>
    </row>
    <row r="54" spans="1:244" s="10" customFormat="1" x14ac:dyDescent="0.2">
      <c r="A54" s="16"/>
      <c r="B54" s="2"/>
      <c r="C54" s="3"/>
      <c r="D54" s="1"/>
      <c r="E54" s="1"/>
      <c r="F54" s="1"/>
      <c r="G54" s="1"/>
      <c r="H54" s="3"/>
      <c r="I54" s="3"/>
      <c r="J54" s="3"/>
      <c r="K54" s="3"/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</row>
    <row r="55" spans="1:244" s="10" customFormat="1" x14ac:dyDescent="0.2">
      <c r="A55" s="48"/>
      <c r="B55" s="49" t="s">
        <v>59</v>
      </c>
      <c r="C55" s="41"/>
      <c r="D55" s="1"/>
      <c r="E55" s="50"/>
      <c r="F55" s="50">
        <f>SUM(F29:F54)</f>
        <v>11035.7</v>
      </c>
      <c r="G55" s="50"/>
      <c r="H55" s="50"/>
      <c r="I55" s="50"/>
      <c r="J55" s="50">
        <f>CEILING(SUM(J29:J54),1)</f>
        <v>0</v>
      </c>
      <c r="K55" s="50">
        <f>CEILING(SUM(K29:K54),1)</f>
        <v>0</v>
      </c>
      <c r="L55" s="50">
        <f>J55+K55</f>
        <v>0</v>
      </c>
    </row>
    <row r="56" spans="1:244" x14ac:dyDescent="0.2">
      <c r="A56" s="48"/>
      <c r="B56" s="49"/>
      <c r="C56" s="50"/>
      <c r="D56" s="51"/>
      <c r="E56" s="50"/>
      <c r="F56" s="50"/>
      <c r="G56" s="50"/>
      <c r="H56" s="50"/>
      <c r="I56" s="50"/>
      <c r="J56" s="50"/>
      <c r="K56" s="50"/>
      <c r="L56" s="5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</row>
    <row r="57" spans="1:244" x14ac:dyDescent="0.2">
      <c r="A57" s="95" t="s">
        <v>56</v>
      </c>
      <c r="B57" s="13" t="s">
        <v>60</v>
      </c>
      <c r="C57" s="12"/>
      <c r="D57" s="12"/>
      <c r="E57" s="12"/>
      <c r="F57" s="12"/>
      <c r="G57" s="12"/>
      <c r="H57" s="11"/>
      <c r="I57" s="11"/>
      <c r="J57" s="11"/>
      <c r="K57" s="11"/>
      <c r="L57" s="11"/>
    </row>
    <row r="58" spans="1:244" s="91" customFormat="1" ht="14.25" x14ac:dyDescent="0.2">
      <c r="A58" s="18" t="s">
        <v>94</v>
      </c>
      <c r="B58" s="52" t="s">
        <v>362</v>
      </c>
      <c r="C58" s="53" t="s">
        <v>55</v>
      </c>
      <c r="D58" s="53">
        <v>1</v>
      </c>
      <c r="E58" s="12"/>
      <c r="F58" s="12"/>
      <c r="G58" s="12"/>
      <c r="H58" s="11"/>
      <c r="I58" s="11"/>
      <c r="J58" s="11"/>
      <c r="K58" s="11"/>
      <c r="L58" s="1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</row>
    <row r="59" spans="1:244" s="91" customFormat="1" ht="38.25" x14ac:dyDescent="0.2">
      <c r="A59" s="87" t="s">
        <v>95</v>
      </c>
      <c r="B59" s="40" t="s">
        <v>309</v>
      </c>
      <c r="C59" s="88" t="s">
        <v>55</v>
      </c>
      <c r="D59" s="88">
        <f>1</f>
        <v>1</v>
      </c>
      <c r="E59" s="89">
        <v>2</v>
      </c>
      <c r="F59" s="89">
        <f>D59*E59</f>
        <v>2</v>
      </c>
      <c r="G59" s="83" t="s">
        <v>55</v>
      </c>
      <c r="H59" s="90"/>
      <c r="I59" s="90"/>
      <c r="J59" s="88">
        <f>$D59*H59</f>
        <v>0</v>
      </c>
      <c r="K59" s="88">
        <f>$D59*I59</f>
        <v>0</v>
      </c>
      <c r="L59" s="88">
        <f t="shared" ref="L59:L64" si="9">J59+K59</f>
        <v>0</v>
      </c>
    </row>
    <row r="60" spans="1:244" s="81" customFormat="1" ht="14.25" x14ac:dyDescent="0.2">
      <c r="A60" s="54"/>
      <c r="B60" s="56" t="s">
        <v>129</v>
      </c>
      <c r="C60" s="88" t="s">
        <v>55</v>
      </c>
      <c r="D60" s="88">
        <f>D59</f>
        <v>1</v>
      </c>
      <c r="E60" s="89"/>
      <c r="F60" s="88"/>
      <c r="G60" s="88"/>
      <c r="H60" s="90"/>
      <c r="I60" s="90"/>
      <c r="J60" s="88">
        <f>$D60*H60</f>
        <v>0</v>
      </c>
      <c r="K60" s="41">
        <f t="shared" ref="K60:K61" si="10">$D60*I60</f>
        <v>0</v>
      </c>
      <c r="L60" s="88">
        <f t="shared" si="9"/>
        <v>0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</row>
    <row r="61" spans="1:244" s="81" customFormat="1" ht="14.25" x14ac:dyDescent="0.2">
      <c r="A61" s="54"/>
      <c r="B61" s="56" t="s">
        <v>183</v>
      </c>
      <c r="C61" s="41" t="s">
        <v>15</v>
      </c>
      <c r="D61" s="88">
        <f>D59</f>
        <v>1</v>
      </c>
      <c r="E61" s="89"/>
      <c r="F61" s="88"/>
      <c r="G61" s="88"/>
      <c r="H61" s="90"/>
      <c r="I61" s="90"/>
      <c r="J61" s="88">
        <f>$D61*H61</f>
        <v>0</v>
      </c>
      <c r="K61" s="41">
        <f t="shared" si="10"/>
        <v>0</v>
      </c>
      <c r="L61" s="88">
        <f t="shared" si="9"/>
        <v>0</v>
      </c>
    </row>
    <row r="62" spans="1:244" s="43" customFormat="1" x14ac:dyDescent="0.2">
      <c r="A62" s="54" t="s">
        <v>140</v>
      </c>
      <c r="B62" s="40" t="s">
        <v>128</v>
      </c>
      <c r="C62" s="41" t="s">
        <v>55</v>
      </c>
      <c r="D62" s="41">
        <f>1</f>
        <v>1</v>
      </c>
      <c r="E62" s="45">
        <v>9.75</v>
      </c>
      <c r="F62" s="41">
        <f>D62*E62</f>
        <v>9.75</v>
      </c>
      <c r="G62" s="41" t="s">
        <v>55</v>
      </c>
      <c r="H62" s="41"/>
      <c r="I62" s="41"/>
      <c r="J62" s="41">
        <f t="shared" ref="J62:K64" si="11">$D62*H62</f>
        <v>0</v>
      </c>
      <c r="K62" s="41">
        <f>$D62*I62</f>
        <v>0</v>
      </c>
      <c r="L62" s="41">
        <f t="shared" si="9"/>
        <v>0</v>
      </c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</row>
    <row r="63" spans="1:244" s="43" customFormat="1" ht="25.5" x14ac:dyDescent="0.2">
      <c r="A63" s="87" t="s">
        <v>96</v>
      </c>
      <c r="B63" s="44" t="s">
        <v>131</v>
      </c>
      <c r="C63" s="41" t="s">
        <v>55</v>
      </c>
      <c r="D63" s="41">
        <v>1</v>
      </c>
      <c r="E63" s="45">
        <v>0.3</v>
      </c>
      <c r="F63" s="45">
        <f>D63*E63</f>
        <v>0.3</v>
      </c>
      <c r="G63" s="83" t="s">
        <v>55</v>
      </c>
      <c r="H63" s="55"/>
      <c r="I63" s="45"/>
      <c r="J63" s="41">
        <f t="shared" si="11"/>
        <v>0</v>
      </c>
      <c r="K63" s="41">
        <f t="shared" si="11"/>
        <v>0</v>
      </c>
      <c r="L63" s="41">
        <f t="shared" si="9"/>
        <v>0</v>
      </c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</row>
    <row r="64" spans="1:244" s="43" customFormat="1" ht="25.5" x14ac:dyDescent="0.2">
      <c r="A64" s="54" t="s">
        <v>197</v>
      </c>
      <c r="B64" s="44" t="s">
        <v>105</v>
      </c>
      <c r="C64" s="41" t="s">
        <v>55</v>
      </c>
      <c r="D64" s="46">
        <v>1</v>
      </c>
      <c r="E64" s="45">
        <v>5.5</v>
      </c>
      <c r="F64" s="41">
        <f>D64*E64</f>
        <v>5.5</v>
      </c>
      <c r="G64" s="41" t="s">
        <v>55</v>
      </c>
      <c r="H64" s="41"/>
      <c r="I64" s="41"/>
      <c r="J64" s="41">
        <f t="shared" si="11"/>
        <v>0</v>
      </c>
      <c r="K64" s="41">
        <f t="shared" si="11"/>
        <v>0</v>
      </c>
      <c r="L64" s="41">
        <f t="shared" si="9"/>
        <v>0</v>
      </c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</row>
    <row r="65" spans="1:244" x14ac:dyDescent="0.2">
      <c r="A65" s="18" t="s">
        <v>93</v>
      </c>
      <c r="B65" s="52" t="s">
        <v>198</v>
      </c>
      <c r="C65" s="53" t="s">
        <v>55</v>
      </c>
      <c r="D65" s="53">
        <v>1</v>
      </c>
      <c r="E65" s="12"/>
      <c r="F65" s="12"/>
      <c r="G65" s="12"/>
      <c r="H65" s="11"/>
      <c r="I65" s="11"/>
      <c r="J65" s="11"/>
      <c r="K65" s="11"/>
      <c r="L65" s="11"/>
    </row>
    <row r="66" spans="1:244" s="10" customFormat="1" ht="25.5" x14ac:dyDescent="0.2">
      <c r="A66" s="87" t="s">
        <v>141</v>
      </c>
      <c r="B66" s="44" t="s">
        <v>130</v>
      </c>
      <c r="C66" s="41" t="s">
        <v>55</v>
      </c>
      <c r="D66" s="41">
        <v>1</v>
      </c>
      <c r="E66" s="45">
        <v>0.3</v>
      </c>
      <c r="F66" s="45">
        <f>D66*E66</f>
        <v>0.3</v>
      </c>
      <c r="G66" s="83" t="s">
        <v>55</v>
      </c>
      <c r="H66" s="55"/>
      <c r="I66" s="45"/>
      <c r="J66" s="41">
        <f>$D66*H66</f>
        <v>0</v>
      </c>
      <c r="K66" s="41">
        <f>$D66*I66</f>
        <v>0</v>
      </c>
      <c r="L66" s="41">
        <f>J66+K66</f>
        <v>0</v>
      </c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</row>
    <row r="67" spans="1:244" s="81" customFormat="1" ht="15.75" x14ac:dyDescent="0.2">
      <c r="A67" s="18" t="s">
        <v>132</v>
      </c>
      <c r="B67" s="52" t="s">
        <v>61</v>
      </c>
      <c r="C67" s="53" t="s">
        <v>55</v>
      </c>
      <c r="D67" s="53">
        <v>2</v>
      </c>
      <c r="E67" s="12"/>
      <c r="F67" s="12"/>
      <c r="G67" s="12"/>
      <c r="H67" s="11"/>
      <c r="I67" s="11"/>
      <c r="J67" s="11"/>
      <c r="K67" s="11"/>
      <c r="L67" s="1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</row>
    <row r="68" spans="1:244" s="81" customFormat="1" ht="25.5" x14ac:dyDescent="0.2">
      <c r="A68" s="87" t="s">
        <v>199</v>
      </c>
      <c r="B68" s="44" t="s">
        <v>135</v>
      </c>
      <c r="C68" s="41" t="s">
        <v>55</v>
      </c>
      <c r="D68" s="41">
        <v>1</v>
      </c>
      <c r="E68" s="45">
        <v>4.0999999999999996</v>
      </c>
      <c r="F68" s="41">
        <f>D68*E68</f>
        <v>4.0999999999999996</v>
      </c>
      <c r="G68" s="41" t="s">
        <v>55</v>
      </c>
      <c r="H68" s="41"/>
      <c r="I68" s="41"/>
      <c r="J68" s="41">
        <f>$D68*H68</f>
        <v>0</v>
      </c>
      <c r="K68" s="41">
        <f>$D68*I68</f>
        <v>0</v>
      </c>
      <c r="L68" s="41">
        <f>J68+K68</f>
        <v>0</v>
      </c>
    </row>
    <row r="69" spans="1:244" s="81" customFormat="1" x14ac:dyDescent="0.2">
      <c r="A69" s="54"/>
      <c r="B69" s="56" t="s">
        <v>136</v>
      </c>
      <c r="C69" s="41" t="s">
        <v>55</v>
      </c>
      <c r="D69" s="46">
        <f>D68</f>
        <v>1</v>
      </c>
      <c r="E69" s="45">
        <v>1</v>
      </c>
      <c r="F69" s="41">
        <f>D69*E69</f>
        <v>1</v>
      </c>
      <c r="G69" s="41" t="s">
        <v>15</v>
      </c>
      <c r="H69" s="41"/>
      <c r="I69" s="41"/>
      <c r="J69" s="41">
        <f t="shared" ref="J69:J77" si="12">$D69*H69</f>
        <v>0</v>
      </c>
      <c r="K69" s="41">
        <f t="shared" ref="K69:K70" si="13">$D69*I69</f>
        <v>0</v>
      </c>
      <c r="L69" s="41">
        <f>J69+K69</f>
        <v>0</v>
      </c>
    </row>
    <row r="70" spans="1:244" s="81" customFormat="1" x14ac:dyDescent="0.2">
      <c r="A70" s="54"/>
      <c r="B70" s="92" t="s">
        <v>137</v>
      </c>
      <c r="C70" s="41" t="s">
        <v>55</v>
      </c>
      <c r="D70" s="46">
        <f>D68</f>
        <v>1</v>
      </c>
      <c r="E70" s="45">
        <v>1</v>
      </c>
      <c r="F70" s="41">
        <f>D70*E70</f>
        <v>1</v>
      </c>
      <c r="G70" s="41" t="s">
        <v>15</v>
      </c>
      <c r="H70" s="41"/>
      <c r="I70" s="41"/>
      <c r="J70" s="41">
        <f t="shared" si="12"/>
        <v>0</v>
      </c>
      <c r="K70" s="41">
        <f t="shared" si="13"/>
        <v>0</v>
      </c>
      <c r="L70" s="41">
        <f>J70+K70</f>
        <v>0</v>
      </c>
    </row>
    <row r="71" spans="1:244" s="81" customFormat="1" ht="28.5" x14ac:dyDescent="0.2">
      <c r="A71" s="54" t="s">
        <v>200</v>
      </c>
      <c r="B71" s="44" t="s">
        <v>138</v>
      </c>
      <c r="C71" s="41" t="s">
        <v>55</v>
      </c>
      <c r="D71" s="41">
        <v>1</v>
      </c>
      <c r="E71" s="45">
        <v>3</v>
      </c>
      <c r="F71" s="41">
        <f>D71*E71</f>
        <v>3</v>
      </c>
      <c r="G71" s="41" t="s">
        <v>55</v>
      </c>
      <c r="H71" s="41"/>
      <c r="I71" s="41"/>
      <c r="J71" s="41">
        <f t="shared" si="12"/>
        <v>0</v>
      </c>
      <c r="K71" s="41">
        <f t="shared" ref="K71:K78" si="14">$D71*I71</f>
        <v>0</v>
      </c>
      <c r="L71" s="41">
        <f>J71+K71</f>
        <v>0</v>
      </c>
    </row>
    <row r="72" spans="1:244" ht="25.5" x14ac:dyDescent="0.2">
      <c r="A72" s="54"/>
      <c r="B72" s="92" t="s">
        <v>139</v>
      </c>
      <c r="C72" s="41" t="s">
        <v>55</v>
      </c>
      <c r="D72" s="41">
        <f>D71</f>
        <v>1</v>
      </c>
      <c r="E72" s="45">
        <v>0.5</v>
      </c>
      <c r="F72" s="41">
        <f t="shared" ref="F72:F83" si="15">D72*E72</f>
        <v>0.5</v>
      </c>
      <c r="G72" s="41" t="s">
        <v>55</v>
      </c>
      <c r="H72" s="41"/>
      <c r="I72" s="41"/>
      <c r="J72" s="41">
        <f t="shared" si="12"/>
        <v>0</v>
      </c>
      <c r="K72" s="41">
        <f t="shared" si="14"/>
        <v>0</v>
      </c>
      <c r="L72" s="41">
        <f t="shared" ref="L72:L83" si="16">J72+K72</f>
        <v>0</v>
      </c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</row>
    <row r="73" spans="1:244" s="81" customFormat="1" ht="38.25" x14ac:dyDescent="0.2">
      <c r="A73" s="54" t="s">
        <v>201</v>
      </c>
      <c r="B73" s="44" t="s">
        <v>174</v>
      </c>
      <c r="C73" s="41" t="s">
        <v>55</v>
      </c>
      <c r="D73" s="46">
        <f>2</f>
        <v>2</v>
      </c>
      <c r="E73" s="45">
        <v>0.8</v>
      </c>
      <c r="F73" s="41">
        <f>D73*E73</f>
        <v>1.6</v>
      </c>
      <c r="G73" s="41" t="s">
        <v>55</v>
      </c>
      <c r="H73" s="41"/>
      <c r="I73" s="41"/>
      <c r="J73" s="41">
        <f t="shared" si="12"/>
        <v>0</v>
      </c>
      <c r="K73" s="41">
        <f t="shared" si="14"/>
        <v>0</v>
      </c>
      <c r="L73" s="41">
        <f>J73+K73</f>
        <v>0</v>
      </c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</row>
    <row r="74" spans="1:244" s="81" customFormat="1" ht="25.5" x14ac:dyDescent="0.2">
      <c r="A74" s="54" t="s">
        <v>371</v>
      </c>
      <c r="B74" s="44" t="s">
        <v>205</v>
      </c>
      <c r="C74" s="41" t="s">
        <v>55</v>
      </c>
      <c r="D74" s="46">
        <v>1</v>
      </c>
      <c r="E74" s="45">
        <v>1</v>
      </c>
      <c r="F74" s="41">
        <f>D74*E74</f>
        <v>1</v>
      </c>
      <c r="G74" s="41" t="s">
        <v>55</v>
      </c>
      <c r="H74" s="41"/>
      <c r="I74" s="41"/>
      <c r="J74" s="41">
        <f t="shared" si="12"/>
        <v>0</v>
      </c>
      <c r="K74" s="41">
        <f t="shared" si="14"/>
        <v>0</v>
      </c>
      <c r="L74" s="41">
        <f>J74+K74</f>
        <v>0</v>
      </c>
    </row>
    <row r="75" spans="1:244" s="81" customFormat="1" ht="25.5" x14ac:dyDescent="0.2">
      <c r="A75" s="54" t="s">
        <v>378</v>
      </c>
      <c r="B75" s="44" t="s">
        <v>372</v>
      </c>
      <c r="C75" s="41" t="s">
        <v>55</v>
      </c>
      <c r="D75" s="46">
        <v>1</v>
      </c>
      <c r="E75" s="45">
        <v>3.2</v>
      </c>
      <c r="F75" s="41">
        <f>D75*E75</f>
        <v>3.2</v>
      </c>
      <c r="G75" s="41" t="s">
        <v>55</v>
      </c>
      <c r="H75" s="41"/>
      <c r="I75" s="41"/>
      <c r="J75" s="41">
        <f t="shared" si="12"/>
        <v>0</v>
      </c>
      <c r="K75" s="41">
        <f t="shared" si="14"/>
        <v>0</v>
      </c>
      <c r="L75" s="41">
        <f>J75+K75</f>
        <v>0</v>
      </c>
    </row>
    <row r="76" spans="1:244" ht="25.5" x14ac:dyDescent="0.2">
      <c r="A76" s="54" t="s">
        <v>206</v>
      </c>
      <c r="B76" s="44" t="s">
        <v>150</v>
      </c>
      <c r="C76" s="41" t="s">
        <v>55</v>
      </c>
      <c r="D76" s="46">
        <f>1+2</f>
        <v>3</v>
      </c>
      <c r="E76" s="45">
        <v>13.6</v>
      </c>
      <c r="F76" s="41">
        <f t="shared" si="15"/>
        <v>40.799999999999997</v>
      </c>
      <c r="G76" s="41" t="s">
        <v>55</v>
      </c>
      <c r="H76" s="41"/>
      <c r="I76" s="41"/>
      <c r="J76" s="41">
        <f t="shared" si="12"/>
        <v>0</v>
      </c>
      <c r="K76" s="41">
        <f t="shared" si="14"/>
        <v>0</v>
      </c>
      <c r="L76" s="41">
        <f t="shared" si="16"/>
        <v>0</v>
      </c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</row>
    <row r="77" spans="1:244" s="81" customFormat="1" ht="25.5" x14ac:dyDescent="0.2">
      <c r="A77" s="54" t="s">
        <v>207</v>
      </c>
      <c r="B77" s="44" t="s">
        <v>154</v>
      </c>
      <c r="C77" s="41" t="s">
        <v>55</v>
      </c>
      <c r="D77" s="46">
        <v>2</v>
      </c>
      <c r="E77" s="45">
        <v>1.2</v>
      </c>
      <c r="F77" s="41">
        <f t="shared" si="15"/>
        <v>2.4</v>
      </c>
      <c r="G77" s="41" t="s">
        <v>55</v>
      </c>
      <c r="H77" s="41"/>
      <c r="I77" s="41"/>
      <c r="J77" s="41">
        <f t="shared" si="12"/>
        <v>0</v>
      </c>
      <c r="K77" s="41">
        <f t="shared" si="14"/>
        <v>0</v>
      </c>
      <c r="L77" s="41">
        <f t="shared" si="16"/>
        <v>0</v>
      </c>
    </row>
    <row r="78" spans="1:244" s="81" customFormat="1" x14ac:dyDescent="0.2">
      <c r="A78" s="54"/>
      <c r="B78" s="92" t="s">
        <v>155</v>
      </c>
      <c r="C78" s="41" t="s">
        <v>15</v>
      </c>
      <c r="D78" s="46">
        <f>D77</f>
        <v>2</v>
      </c>
      <c r="E78" s="45">
        <v>0.55000000000000004</v>
      </c>
      <c r="F78" s="41">
        <f t="shared" si="15"/>
        <v>1.1000000000000001</v>
      </c>
      <c r="G78" s="41" t="s">
        <v>15</v>
      </c>
      <c r="H78" s="41"/>
      <c r="I78" s="41"/>
      <c r="J78" s="41">
        <f t="shared" ref="J78:J82" si="17">$D78*H78</f>
        <v>0</v>
      </c>
      <c r="K78" s="41">
        <f t="shared" si="14"/>
        <v>0</v>
      </c>
      <c r="L78" s="41">
        <f t="shared" si="16"/>
        <v>0</v>
      </c>
    </row>
    <row r="79" spans="1:244" s="81" customFormat="1" ht="25.5" x14ac:dyDescent="0.2">
      <c r="A79" s="54" t="s">
        <v>208</v>
      </c>
      <c r="B79" s="44" t="s">
        <v>202</v>
      </c>
      <c r="C79" s="41" t="s">
        <v>55</v>
      </c>
      <c r="D79" s="41">
        <v>1</v>
      </c>
      <c r="E79" s="45">
        <v>1.8</v>
      </c>
      <c r="F79" s="41">
        <f t="shared" si="15"/>
        <v>1.8</v>
      </c>
      <c r="G79" s="41" t="s">
        <v>55</v>
      </c>
      <c r="H79" s="41"/>
      <c r="I79" s="41"/>
      <c r="J79" s="41">
        <f>$D79*H79</f>
        <v>0</v>
      </c>
      <c r="K79" s="41">
        <f>$D79*I79</f>
        <v>0</v>
      </c>
      <c r="L79" s="41">
        <f t="shared" si="16"/>
        <v>0</v>
      </c>
    </row>
    <row r="80" spans="1:244" s="81" customFormat="1" ht="15.75" x14ac:dyDescent="0.2">
      <c r="A80" s="54"/>
      <c r="B80" s="92" t="s">
        <v>203</v>
      </c>
      <c r="C80" s="41" t="s">
        <v>15</v>
      </c>
      <c r="D80" s="41">
        <f>D79</f>
        <v>1</v>
      </c>
      <c r="E80" s="45">
        <v>0.55000000000000004</v>
      </c>
      <c r="F80" s="41">
        <f t="shared" si="15"/>
        <v>0.55000000000000004</v>
      </c>
      <c r="G80" s="41" t="s">
        <v>15</v>
      </c>
      <c r="H80" s="41"/>
      <c r="I80" s="41"/>
      <c r="J80" s="41">
        <f t="shared" si="17"/>
        <v>0</v>
      </c>
      <c r="K80" s="41">
        <f>$D80*I80</f>
        <v>0</v>
      </c>
      <c r="L80" s="41">
        <f t="shared" si="16"/>
        <v>0</v>
      </c>
    </row>
    <row r="81" spans="1:244" s="81" customFormat="1" x14ac:dyDescent="0.2">
      <c r="A81" s="54"/>
      <c r="B81" s="56" t="s">
        <v>204</v>
      </c>
      <c r="C81" s="41" t="s">
        <v>55</v>
      </c>
      <c r="D81" s="41">
        <f>D79</f>
        <v>1</v>
      </c>
      <c r="E81" s="45">
        <v>0.6</v>
      </c>
      <c r="F81" s="41">
        <f t="shared" si="15"/>
        <v>0.6</v>
      </c>
      <c r="G81" s="41" t="s">
        <v>55</v>
      </c>
      <c r="H81" s="41"/>
      <c r="I81" s="41"/>
      <c r="J81" s="41">
        <f t="shared" si="17"/>
        <v>0</v>
      </c>
      <c r="K81" s="41">
        <f>$D81*I81</f>
        <v>0</v>
      </c>
      <c r="L81" s="41">
        <f t="shared" si="16"/>
        <v>0</v>
      </c>
    </row>
    <row r="82" spans="1:244" s="43" customFormat="1" ht="25.5" x14ac:dyDescent="0.2">
      <c r="A82" s="54" t="s">
        <v>419</v>
      </c>
      <c r="B82" s="44" t="s">
        <v>417</v>
      </c>
      <c r="C82" s="41" t="s">
        <v>55</v>
      </c>
      <c r="D82" s="41">
        <v>1</v>
      </c>
      <c r="E82" s="45">
        <v>2.6</v>
      </c>
      <c r="F82" s="41">
        <f t="shared" si="15"/>
        <v>2.6</v>
      </c>
      <c r="G82" s="41" t="s">
        <v>55</v>
      </c>
      <c r="H82" s="41"/>
      <c r="I82" s="41"/>
      <c r="J82" s="41">
        <f t="shared" si="17"/>
        <v>0</v>
      </c>
      <c r="K82" s="41">
        <f>$D82*I82</f>
        <v>0</v>
      </c>
      <c r="L82" s="41">
        <f t="shared" si="16"/>
        <v>0</v>
      </c>
    </row>
    <row r="83" spans="1:244" s="43" customFormat="1" x14ac:dyDescent="0.2">
      <c r="A83" s="54"/>
      <c r="B83" s="56" t="s">
        <v>418</v>
      </c>
      <c r="C83" s="41" t="s">
        <v>15</v>
      </c>
      <c r="D83" s="46">
        <f>D82</f>
        <v>1</v>
      </c>
      <c r="E83" s="45">
        <v>0.9</v>
      </c>
      <c r="F83" s="41">
        <f t="shared" si="15"/>
        <v>0.9</v>
      </c>
      <c r="G83" s="41" t="s">
        <v>15</v>
      </c>
      <c r="H83" s="41"/>
      <c r="I83" s="41"/>
      <c r="J83" s="41">
        <f>$D83*H83</f>
        <v>0</v>
      </c>
      <c r="K83" s="41">
        <f>$D83*I83</f>
        <v>0</v>
      </c>
      <c r="L83" s="41">
        <f t="shared" si="16"/>
        <v>0</v>
      </c>
    </row>
    <row r="84" spans="1:244" s="81" customFormat="1" x14ac:dyDescent="0.2">
      <c r="A84" s="18"/>
      <c r="B84" s="44"/>
      <c r="C84" s="42"/>
      <c r="D84" s="47"/>
      <c r="E84" s="47"/>
      <c r="F84" s="42"/>
      <c r="G84" s="42"/>
      <c r="H84" s="41"/>
      <c r="I84" s="41"/>
      <c r="J84" s="42"/>
      <c r="K84" s="42"/>
      <c r="L84" s="4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</row>
    <row r="85" spans="1:244" s="81" customFormat="1" x14ac:dyDescent="0.2">
      <c r="A85" s="48"/>
      <c r="B85" s="49" t="s">
        <v>59</v>
      </c>
      <c r="C85" s="41"/>
      <c r="D85" s="1"/>
      <c r="E85" s="50"/>
      <c r="F85" s="50">
        <f>SUM(F57:F84)</f>
        <v>84</v>
      </c>
      <c r="G85" s="50"/>
      <c r="H85" s="50"/>
      <c r="I85" s="50"/>
      <c r="J85" s="50">
        <f>CEILING(SUM(J57:J84),100)</f>
        <v>0</v>
      </c>
      <c r="K85" s="50">
        <f>CEILING(SUM(K57:K84),100)</f>
        <v>0</v>
      </c>
      <c r="L85" s="50">
        <f>J85+K85</f>
        <v>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</row>
    <row r="86" spans="1:244" s="81" customFormat="1" x14ac:dyDescent="0.2">
      <c r="A86" s="48"/>
      <c r="B86" s="49"/>
      <c r="C86" s="50"/>
      <c r="D86" s="51"/>
      <c r="E86" s="50"/>
      <c r="F86" s="50"/>
      <c r="G86" s="50"/>
      <c r="H86" s="50"/>
      <c r="I86" s="50"/>
      <c r="J86" s="50"/>
      <c r="K86" s="50"/>
      <c r="L86" s="5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</row>
    <row r="87" spans="1:244" s="81" customFormat="1" x14ac:dyDescent="0.2">
      <c r="A87" s="95" t="s">
        <v>57</v>
      </c>
      <c r="B87" s="13" t="s">
        <v>62</v>
      </c>
      <c r="C87" s="12"/>
      <c r="D87" s="12"/>
      <c r="E87" s="12"/>
      <c r="F87" s="12"/>
      <c r="G87" s="12"/>
      <c r="H87" s="11"/>
      <c r="I87" s="11"/>
      <c r="J87" s="11"/>
      <c r="K87" s="11"/>
      <c r="L87" s="1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</row>
    <row r="88" spans="1:244" s="81" customFormat="1" ht="25.5" x14ac:dyDescent="0.2">
      <c r="A88" s="18"/>
      <c r="B88" s="57" t="s">
        <v>63</v>
      </c>
      <c r="C88" s="53" t="s">
        <v>55</v>
      </c>
      <c r="D88" s="53">
        <v>1</v>
      </c>
      <c r="E88" s="12"/>
      <c r="F88" s="12"/>
      <c r="G88" s="12"/>
      <c r="H88" s="11"/>
      <c r="I88" s="11"/>
      <c r="J88" s="11"/>
      <c r="K88" s="11"/>
      <c r="L88" s="1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</row>
    <row r="89" spans="1:244" s="81" customFormat="1" ht="51" x14ac:dyDescent="0.2">
      <c r="A89" s="54" t="s">
        <v>97</v>
      </c>
      <c r="B89" s="40" t="s">
        <v>326</v>
      </c>
      <c r="C89" s="41" t="s">
        <v>55</v>
      </c>
      <c r="D89" s="45">
        <f>2</f>
        <v>2</v>
      </c>
      <c r="E89" s="45">
        <v>0.65</v>
      </c>
      <c r="F89" s="41">
        <f t="shared" ref="F89:F94" si="18">D89*E89</f>
        <v>1.3</v>
      </c>
      <c r="G89" s="41" t="s">
        <v>55</v>
      </c>
      <c r="H89" s="55"/>
      <c r="I89" s="55"/>
      <c r="J89" s="41">
        <f t="shared" ref="J89:K112" si="19">$D89*H89</f>
        <v>0</v>
      </c>
      <c r="K89" s="41">
        <f t="shared" si="19"/>
        <v>0</v>
      </c>
      <c r="L89" s="41">
        <f t="shared" ref="L89:L110" si="20">J89+K89</f>
        <v>0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</row>
    <row r="90" spans="1:244" s="81" customFormat="1" ht="76.5" x14ac:dyDescent="0.2">
      <c r="A90" s="54" t="s">
        <v>98</v>
      </c>
      <c r="B90" s="44" t="s">
        <v>327</v>
      </c>
      <c r="C90" s="41" t="s">
        <v>55</v>
      </c>
      <c r="D90" s="45">
        <f>D$88</f>
        <v>1</v>
      </c>
      <c r="E90" s="45">
        <v>1.2</v>
      </c>
      <c r="F90" s="41">
        <f t="shared" si="18"/>
        <v>1.2</v>
      </c>
      <c r="G90" s="41" t="s">
        <v>55</v>
      </c>
      <c r="H90" s="55"/>
      <c r="I90" s="55"/>
      <c r="J90" s="41">
        <f t="shared" si="19"/>
        <v>0</v>
      </c>
      <c r="K90" s="41">
        <f t="shared" si="19"/>
        <v>0</v>
      </c>
      <c r="L90" s="41">
        <f t="shared" si="20"/>
        <v>0</v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</row>
    <row r="91" spans="1:244" s="81" customFormat="1" ht="25.5" x14ac:dyDescent="0.2">
      <c r="A91" s="54" t="s">
        <v>210</v>
      </c>
      <c r="B91" s="40" t="s">
        <v>64</v>
      </c>
      <c r="C91" s="41" t="s">
        <v>55</v>
      </c>
      <c r="D91" s="45">
        <f>(D89+D90)</f>
        <v>3</v>
      </c>
      <c r="E91" s="45">
        <v>0.7</v>
      </c>
      <c r="F91" s="41">
        <f>D91*E91</f>
        <v>2.0999999999999996</v>
      </c>
      <c r="G91" s="41" t="s">
        <v>55</v>
      </c>
      <c r="H91" s="55"/>
      <c r="I91" s="55"/>
      <c r="J91" s="41">
        <f>$D91*H91</f>
        <v>0</v>
      </c>
      <c r="K91" s="41">
        <f>$D91*I91</f>
        <v>0</v>
      </c>
      <c r="L91" s="41">
        <f>J91+K91</f>
        <v>0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</row>
    <row r="92" spans="1:244" s="81" customFormat="1" x14ac:dyDescent="0.2">
      <c r="A92" s="54"/>
      <c r="B92" s="40" t="s">
        <v>65</v>
      </c>
      <c r="C92" s="41" t="s">
        <v>55</v>
      </c>
      <c r="D92" s="45">
        <f>D89</f>
        <v>2</v>
      </c>
      <c r="E92" s="45">
        <f>0.16</f>
        <v>0.16</v>
      </c>
      <c r="F92" s="45">
        <f t="shared" si="18"/>
        <v>0.32</v>
      </c>
      <c r="G92" s="41" t="s">
        <v>55</v>
      </c>
      <c r="H92" s="55"/>
      <c r="I92" s="55"/>
      <c r="J92" s="41">
        <f t="shared" si="19"/>
        <v>0</v>
      </c>
      <c r="K92" s="41">
        <f t="shared" si="19"/>
        <v>0</v>
      </c>
      <c r="L92" s="41">
        <f t="shared" si="20"/>
        <v>0</v>
      </c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 s="43"/>
      <c r="HF92" s="43"/>
      <c r="HG92" s="43"/>
      <c r="HH92" s="43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  <c r="IB92" s="43"/>
      <c r="IC92" s="43"/>
      <c r="ID92" s="43"/>
      <c r="IE92" s="43"/>
      <c r="IF92" s="43"/>
      <c r="IG92" s="43"/>
      <c r="IH92" s="43"/>
      <c r="II92" s="43"/>
      <c r="IJ92" s="43"/>
    </row>
    <row r="93" spans="1:244" s="81" customFormat="1" x14ac:dyDescent="0.2">
      <c r="A93" s="54"/>
      <c r="B93" s="40" t="s">
        <v>66</v>
      </c>
      <c r="C93" s="41" t="s">
        <v>55</v>
      </c>
      <c r="D93" s="45">
        <f>D91*2</f>
        <v>6</v>
      </c>
      <c r="E93" s="45">
        <f>0.09</f>
        <v>0.09</v>
      </c>
      <c r="F93" s="41">
        <f t="shared" si="18"/>
        <v>0.54</v>
      </c>
      <c r="G93" s="41" t="s">
        <v>55</v>
      </c>
      <c r="H93" s="55"/>
      <c r="I93" s="55"/>
      <c r="J93" s="41">
        <f t="shared" si="19"/>
        <v>0</v>
      </c>
      <c r="K93" s="41">
        <f t="shared" si="19"/>
        <v>0</v>
      </c>
      <c r="L93" s="41">
        <f t="shared" si="20"/>
        <v>0</v>
      </c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</row>
    <row r="94" spans="1:244" s="81" customFormat="1" x14ac:dyDescent="0.2">
      <c r="A94" s="54"/>
      <c r="B94" s="40" t="s">
        <v>67</v>
      </c>
      <c r="C94" s="41" t="s">
        <v>55</v>
      </c>
      <c r="D94" s="45">
        <f>CEILING(D93*1.25,1)</f>
        <v>8</v>
      </c>
      <c r="E94" s="45">
        <v>3.0400000000000002E-3</v>
      </c>
      <c r="F94" s="41">
        <f t="shared" si="18"/>
        <v>2.4320000000000001E-2</v>
      </c>
      <c r="G94" s="41" t="s">
        <v>55</v>
      </c>
      <c r="H94" s="55"/>
      <c r="I94" s="55"/>
      <c r="J94" s="41">
        <f t="shared" si="19"/>
        <v>0</v>
      </c>
      <c r="K94" s="41">
        <f t="shared" si="19"/>
        <v>0</v>
      </c>
      <c r="L94" s="41">
        <f t="shared" si="20"/>
        <v>0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</row>
    <row r="95" spans="1:244" s="43" customFormat="1" ht="51" x14ac:dyDescent="0.2">
      <c r="A95" s="87" t="s">
        <v>102</v>
      </c>
      <c r="B95" s="40" t="s">
        <v>328</v>
      </c>
      <c r="C95" s="41" t="s">
        <v>55</v>
      </c>
      <c r="D95" s="41">
        <f>5</f>
        <v>5</v>
      </c>
      <c r="E95" s="45">
        <v>0.65</v>
      </c>
      <c r="F95" s="41">
        <f t="shared" ref="F95:F104" si="21">D95*E95</f>
        <v>3.25</v>
      </c>
      <c r="G95" s="41" t="s">
        <v>55</v>
      </c>
      <c r="H95" s="41"/>
      <c r="I95" s="41"/>
      <c r="J95" s="41">
        <f t="shared" si="19"/>
        <v>0</v>
      </c>
      <c r="K95" s="41">
        <f t="shared" si="19"/>
        <v>0</v>
      </c>
      <c r="L95" s="41">
        <f t="shared" ref="L95:L104" si="22">J95+K95</f>
        <v>0</v>
      </c>
    </row>
    <row r="96" spans="1:244" s="43" customFormat="1" ht="25.5" x14ac:dyDescent="0.2">
      <c r="A96" s="87" t="s">
        <v>211</v>
      </c>
      <c r="B96" s="40" t="s">
        <v>401</v>
      </c>
      <c r="C96" s="41" t="s">
        <v>55</v>
      </c>
      <c r="D96" s="41">
        <f>D95</f>
        <v>5</v>
      </c>
      <c r="E96" s="45">
        <v>0.45</v>
      </c>
      <c r="F96" s="45">
        <f t="shared" si="21"/>
        <v>2.25</v>
      </c>
      <c r="G96" s="41" t="s">
        <v>55</v>
      </c>
      <c r="H96" s="41"/>
      <c r="I96" s="41"/>
      <c r="J96" s="41">
        <f t="shared" si="19"/>
        <v>0</v>
      </c>
      <c r="K96" s="41">
        <f t="shared" si="19"/>
        <v>0</v>
      </c>
      <c r="L96" s="41">
        <f t="shared" si="22"/>
        <v>0</v>
      </c>
    </row>
    <row r="97" spans="1:12" s="43" customFormat="1" x14ac:dyDescent="0.2">
      <c r="A97" s="54"/>
      <c r="B97" s="40" t="s">
        <v>66</v>
      </c>
      <c r="C97" s="41" t="s">
        <v>55</v>
      </c>
      <c r="D97" s="45">
        <f>D96*2</f>
        <v>10</v>
      </c>
      <c r="E97" s="45">
        <f>0.09</f>
        <v>0.09</v>
      </c>
      <c r="F97" s="45">
        <f t="shared" si="21"/>
        <v>0.89999999999999991</v>
      </c>
      <c r="G97" s="41" t="s">
        <v>55</v>
      </c>
      <c r="H97" s="55"/>
      <c r="I97" s="55"/>
      <c r="J97" s="41">
        <f t="shared" si="19"/>
        <v>0</v>
      </c>
      <c r="K97" s="41">
        <f t="shared" si="19"/>
        <v>0</v>
      </c>
      <c r="L97" s="41">
        <f t="shared" si="22"/>
        <v>0</v>
      </c>
    </row>
    <row r="98" spans="1:12" s="43" customFormat="1" x14ac:dyDescent="0.2">
      <c r="A98" s="54"/>
      <c r="B98" s="40" t="s">
        <v>209</v>
      </c>
      <c r="C98" s="41" t="s">
        <v>55</v>
      </c>
      <c r="D98" s="41">
        <f>D96</f>
        <v>5</v>
      </c>
      <c r="E98" s="45">
        <f>0.55</f>
        <v>0.55000000000000004</v>
      </c>
      <c r="F98" s="41">
        <f t="shared" si="21"/>
        <v>2.75</v>
      </c>
      <c r="G98" s="41" t="s">
        <v>55</v>
      </c>
      <c r="H98" s="41"/>
      <c r="I98" s="41"/>
      <c r="J98" s="41">
        <f t="shared" si="19"/>
        <v>0</v>
      </c>
      <c r="K98" s="41">
        <f t="shared" si="19"/>
        <v>0</v>
      </c>
      <c r="L98" s="41">
        <f t="shared" si="22"/>
        <v>0</v>
      </c>
    </row>
    <row r="99" spans="1:12" s="43" customFormat="1" x14ac:dyDescent="0.2">
      <c r="A99" s="54"/>
      <c r="B99" s="40" t="s">
        <v>67</v>
      </c>
      <c r="C99" s="41" t="s">
        <v>55</v>
      </c>
      <c r="D99" s="45">
        <f>CEILING(D97*1.25,5)</f>
        <v>15</v>
      </c>
      <c r="E99" s="45">
        <v>3.0400000000000002E-3</v>
      </c>
      <c r="F99" s="45">
        <f t="shared" si="21"/>
        <v>4.5600000000000002E-2</v>
      </c>
      <c r="G99" s="41" t="s">
        <v>55</v>
      </c>
      <c r="H99" s="55"/>
      <c r="I99" s="55"/>
      <c r="J99" s="41">
        <f t="shared" si="19"/>
        <v>0</v>
      </c>
      <c r="K99" s="41">
        <f t="shared" si="19"/>
        <v>0</v>
      </c>
      <c r="L99" s="41">
        <f t="shared" si="22"/>
        <v>0</v>
      </c>
    </row>
    <row r="100" spans="1:12" s="81" customFormat="1" x14ac:dyDescent="0.2">
      <c r="A100" s="54" t="s">
        <v>385</v>
      </c>
      <c r="B100" s="44" t="s">
        <v>133</v>
      </c>
      <c r="C100" s="41" t="s">
        <v>55</v>
      </c>
      <c r="D100" s="41">
        <v>1</v>
      </c>
      <c r="E100" s="45">
        <v>15.1</v>
      </c>
      <c r="F100" s="41">
        <f t="shared" si="21"/>
        <v>15.1</v>
      </c>
      <c r="G100" s="41" t="s">
        <v>55</v>
      </c>
      <c r="H100" s="41"/>
      <c r="I100" s="41"/>
      <c r="J100" s="41">
        <f t="shared" si="19"/>
        <v>0</v>
      </c>
      <c r="K100" s="41">
        <f>$D100*I100</f>
        <v>0</v>
      </c>
      <c r="L100" s="41">
        <f t="shared" si="22"/>
        <v>0</v>
      </c>
    </row>
    <row r="101" spans="1:12" s="81" customFormat="1" x14ac:dyDescent="0.2">
      <c r="A101" s="54" t="s">
        <v>386</v>
      </c>
      <c r="B101" s="44" t="s">
        <v>387</v>
      </c>
      <c r="C101" s="41" t="s">
        <v>55</v>
      </c>
      <c r="D101" s="41">
        <v>1</v>
      </c>
      <c r="E101" s="45">
        <v>15.1</v>
      </c>
      <c r="F101" s="41">
        <f t="shared" si="21"/>
        <v>15.1</v>
      </c>
      <c r="G101" s="41" t="s">
        <v>55</v>
      </c>
      <c r="H101" s="41"/>
      <c r="I101" s="41"/>
      <c r="J101" s="41">
        <f t="shared" si="19"/>
        <v>0</v>
      </c>
      <c r="K101" s="41">
        <f>$D101*I101</f>
        <v>0</v>
      </c>
      <c r="L101" s="41">
        <f t="shared" si="22"/>
        <v>0</v>
      </c>
    </row>
    <row r="102" spans="1:12" s="81" customFormat="1" ht="25.5" x14ac:dyDescent="0.2">
      <c r="A102" s="54" t="s">
        <v>147</v>
      </c>
      <c r="B102" s="40" t="s">
        <v>438</v>
      </c>
      <c r="C102" s="41" t="s">
        <v>55</v>
      </c>
      <c r="D102" s="41">
        <f>4</f>
        <v>4</v>
      </c>
      <c r="E102" s="45">
        <v>0.15</v>
      </c>
      <c r="F102" s="45">
        <f t="shared" si="21"/>
        <v>0.6</v>
      </c>
      <c r="G102" s="41" t="s">
        <v>55</v>
      </c>
      <c r="H102" s="41"/>
      <c r="I102" s="41"/>
      <c r="J102" s="41">
        <f>$D102*H102</f>
        <v>0</v>
      </c>
      <c r="K102" s="41">
        <f>$D102*I102</f>
        <v>0</v>
      </c>
      <c r="L102" s="41">
        <f t="shared" si="22"/>
        <v>0</v>
      </c>
    </row>
    <row r="103" spans="1:12" s="81" customFormat="1" ht="25.5" x14ac:dyDescent="0.2">
      <c r="A103" s="54"/>
      <c r="B103" s="56" t="s">
        <v>363</v>
      </c>
      <c r="C103" s="41" t="s">
        <v>55</v>
      </c>
      <c r="D103" s="41">
        <f>D102+2+1+1</f>
        <v>8</v>
      </c>
      <c r="E103" s="45">
        <v>0.37</v>
      </c>
      <c r="F103" s="41">
        <f t="shared" si="21"/>
        <v>2.96</v>
      </c>
      <c r="G103" s="41" t="s">
        <v>55</v>
      </c>
      <c r="H103" s="41"/>
      <c r="I103" s="41"/>
      <c r="J103" s="41">
        <f>$D103*H103</f>
        <v>0</v>
      </c>
      <c r="K103" s="41">
        <f t="shared" si="19"/>
        <v>0</v>
      </c>
      <c r="L103" s="41">
        <f t="shared" si="22"/>
        <v>0</v>
      </c>
    </row>
    <row r="104" spans="1:12" s="81" customFormat="1" x14ac:dyDescent="0.2">
      <c r="A104" s="54"/>
      <c r="B104" s="93" t="s">
        <v>364</v>
      </c>
      <c r="C104" s="41" t="s">
        <v>55</v>
      </c>
      <c r="D104" s="41">
        <f>D103</f>
        <v>8</v>
      </c>
      <c r="E104" s="45">
        <f>0.1</f>
        <v>0.1</v>
      </c>
      <c r="F104" s="41">
        <f t="shared" si="21"/>
        <v>0.8</v>
      </c>
      <c r="G104" s="41" t="s">
        <v>55</v>
      </c>
      <c r="H104" s="41"/>
      <c r="I104" s="41"/>
      <c r="J104" s="41">
        <f>$D104*H104</f>
        <v>0</v>
      </c>
      <c r="K104" s="41">
        <f>$D104*I104</f>
        <v>0</v>
      </c>
      <c r="L104" s="41">
        <f t="shared" si="22"/>
        <v>0</v>
      </c>
    </row>
    <row r="105" spans="1:12" s="81" customFormat="1" x14ac:dyDescent="0.2">
      <c r="A105" s="87" t="s">
        <v>148</v>
      </c>
      <c r="B105" s="44"/>
      <c r="C105" s="41"/>
      <c r="D105" s="41"/>
      <c r="E105" s="45"/>
      <c r="F105" s="55"/>
      <c r="G105" s="41"/>
      <c r="H105" s="41"/>
      <c r="I105" s="41"/>
      <c r="J105" s="41"/>
      <c r="K105" s="41"/>
      <c r="L105" s="41"/>
    </row>
    <row r="106" spans="1:12" s="81" customFormat="1" x14ac:dyDescent="0.2">
      <c r="A106" s="54"/>
      <c r="B106" s="56"/>
      <c r="C106" s="41"/>
      <c r="D106" s="41"/>
      <c r="E106" s="45"/>
      <c r="F106" s="55"/>
      <c r="G106" s="41"/>
      <c r="H106" s="41"/>
      <c r="I106" s="41"/>
      <c r="J106" s="41"/>
      <c r="K106" s="41"/>
      <c r="L106" s="41"/>
    </row>
    <row r="107" spans="1:12" s="81" customFormat="1" x14ac:dyDescent="0.2">
      <c r="A107" s="54"/>
      <c r="B107" s="93"/>
      <c r="C107" s="41"/>
      <c r="D107" s="41"/>
      <c r="E107" s="45"/>
      <c r="F107" s="55"/>
      <c r="G107" s="41"/>
      <c r="H107" s="41"/>
      <c r="I107" s="41"/>
      <c r="J107" s="41"/>
      <c r="K107" s="41"/>
      <c r="L107" s="41"/>
    </row>
    <row r="108" spans="1:12" s="81" customFormat="1" ht="25.5" x14ac:dyDescent="0.2">
      <c r="A108" s="54" t="s">
        <v>149</v>
      </c>
      <c r="B108" s="40" t="s">
        <v>365</v>
      </c>
      <c r="C108" s="41" t="s">
        <v>55</v>
      </c>
      <c r="D108" s="41">
        <v>1</v>
      </c>
      <c r="E108" s="45">
        <v>0.15</v>
      </c>
      <c r="F108" s="41">
        <f t="shared" ref="F108:F110" si="23">D108*E108</f>
        <v>0.15</v>
      </c>
      <c r="G108" s="41" t="s">
        <v>55</v>
      </c>
      <c r="H108" s="41"/>
      <c r="I108" s="41"/>
      <c r="J108" s="41">
        <f t="shared" si="19"/>
        <v>0</v>
      </c>
      <c r="K108" s="41">
        <f t="shared" si="19"/>
        <v>0</v>
      </c>
      <c r="L108" s="41">
        <f t="shared" si="20"/>
        <v>0</v>
      </c>
    </row>
    <row r="109" spans="1:12" s="81" customFormat="1" ht="25.5" x14ac:dyDescent="0.2">
      <c r="A109" s="54"/>
      <c r="B109" s="56" t="s">
        <v>366</v>
      </c>
      <c r="C109" s="41" t="s">
        <v>55</v>
      </c>
      <c r="D109" s="41">
        <f>D108+1</f>
        <v>2</v>
      </c>
      <c r="E109" s="45">
        <v>0.37</v>
      </c>
      <c r="F109" s="41">
        <f t="shared" si="23"/>
        <v>0.74</v>
      </c>
      <c r="G109" s="41" t="s">
        <v>55</v>
      </c>
      <c r="H109" s="41"/>
      <c r="I109" s="41"/>
      <c r="J109" s="41">
        <f t="shared" si="19"/>
        <v>0</v>
      </c>
      <c r="K109" s="41">
        <f t="shared" si="19"/>
        <v>0</v>
      </c>
      <c r="L109" s="41">
        <f t="shared" si="20"/>
        <v>0</v>
      </c>
    </row>
    <row r="110" spans="1:12" s="81" customFormat="1" x14ac:dyDescent="0.2">
      <c r="A110" s="54"/>
      <c r="B110" s="93" t="s">
        <v>367</v>
      </c>
      <c r="C110" s="41" t="s">
        <v>55</v>
      </c>
      <c r="D110" s="41">
        <f>D108</f>
        <v>1</v>
      </c>
      <c r="E110" s="45">
        <f>0.1</f>
        <v>0.1</v>
      </c>
      <c r="F110" s="45">
        <f t="shared" si="23"/>
        <v>0.1</v>
      </c>
      <c r="G110" s="41" t="s">
        <v>55</v>
      </c>
      <c r="H110" s="41"/>
      <c r="I110" s="41"/>
      <c r="J110" s="41">
        <f t="shared" si="19"/>
        <v>0</v>
      </c>
      <c r="K110" s="41">
        <f t="shared" si="19"/>
        <v>0</v>
      </c>
      <c r="L110" s="41">
        <f t="shared" si="20"/>
        <v>0</v>
      </c>
    </row>
    <row r="111" spans="1:12" s="81" customFormat="1" ht="25.5" x14ac:dyDescent="0.2">
      <c r="A111" s="87" t="s">
        <v>212</v>
      </c>
      <c r="B111" s="40" t="s">
        <v>368</v>
      </c>
      <c r="C111" s="41" t="s">
        <v>55</v>
      </c>
      <c r="D111" s="41">
        <v>3</v>
      </c>
      <c r="E111" s="45">
        <v>0.15</v>
      </c>
      <c r="F111" s="45">
        <f>D111*E111</f>
        <v>0.44999999999999996</v>
      </c>
      <c r="G111" s="41" t="s">
        <v>55</v>
      </c>
      <c r="H111" s="41"/>
      <c r="I111" s="41"/>
      <c r="J111" s="41">
        <f>$D111*H111</f>
        <v>0</v>
      </c>
      <c r="K111" s="41">
        <f>$D111*I111</f>
        <v>0</v>
      </c>
      <c r="L111" s="41">
        <f>J111+K111</f>
        <v>0</v>
      </c>
    </row>
    <row r="112" spans="1:12" s="81" customFormat="1" ht="28.5" x14ac:dyDescent="0.2">
      <c r="A112" s="54"/>
      <c r="B112" s="56" t="s">
        <v>369</v>
      </c>
      <c r="C112" s="41" t="s">
        <v>55</v>
      </c>
      <c r="D112" s="41">
        <f>D111*2</f>
        <v>6</v>
      </c>
      <c r="E112" s="45">
        <v>0.37</v>
      </c>
      <c r="F112" s="41">
        <f>D112*E112</f>
        <v>2.2199999999999998</v>
      </c>
      <c r="G112" s="41" t="s">
        <v>55</v>
      </c>
      <c r="H112" s="41"/>
      <c r="I112" s="41"/>
      <c r="J112" s="41">
        <f>$D112*H112</f>
        <v>0</v>
      </c>
      <c r="K112" s="41">
        <f t="shared" si="19"/>
        <v>0</v>
      </c>
      <c r="L112" s="41">
        <f>J112+K112</f>
        <v>0</v>
      </c>
    </row>
    <row r="113" spans="1:244" s="81" customFormat="1" ht="15.75" x14ac:dyDescent="0.2">
      <c r="A113" s="54"/>
      <c r="B113" s="93" t="s">
        <v>370</v>
      </c>
      <c r="C113" s="41" t="s">
        <v>55</v>
      </c>
      <c r="D113" s="41">
        <f>D112</f>
        <v>6</v>
      </c>
      <c r="E113" s="45">
        <f>0.1</f>
        <v>0.1</v>
      </c>
      <c r="F113" s="55">
        <f>D113*E113</f>
        <v>0.60000000000000009</v>
      </c>
      <c r="G113" s="41" t="s">
        <v>55</v>
      </c>
      <c r="H113" s="41"/>
      <c r="I113" s="41"/>
      <c r="J113" s="41">
        <f>$D113*H113</f>
        <v>0</v>
      </c>
      <c r="K113" s="41">
        <f t="shared" ref="K113:K114" si="24">$D113*I113</f>
        <v>0</v>
      </c>
      <c r="L113" s="41">
        <f>J113+K113</f>
        <v>0</v>
      </c>
    </row>
    <row r="114" spans="1:244" s="81" customFormat="1" x14ac:dyDescent="0.2">
      <c r="A114" s="54"/>
      <c r="B114" s="40" t="s">
        <v>146</v>
      </c>
      <c r="C114" s="41" t="s">
        <v>55</v>
      </c>
      <c r="D114" s="45">
        <f>CEILING((D103+D106+D109+D112)*1.25,2)</f>
        <v>20</v>
      </c>
      <c r="E114" s="45">
        <f>0.00062</f>
        <v>6.2E-4</v>
      </c>
      <c r="F114" s="45">
        <f>D114*E114</f>
        <v>1.24E-2</v>
      </c>
      <c r="G114" s="41" t="s">
        <v>55</v>
      </c>
      <c r="H114" s="41"/>
      <c r="I114" s="41"/>
      <c r="J114" s="41">
        <f>$D114*H114</f>
        <v>0</v>
      </c>
      <c r="K114" s="41">
        <f t="shared" si="24"/>
        <v>0</v>
      </c>
      <c r="L114" s="41">
        <f>J114+K114</f>
        <v>0</v>
      </c>
    </row>
    <row r="115" spans="1:244" s="81" customFormat="1" x14ac:dyDescent="0.2">
      <c r="A115" s="16"/>
      <c r="B115" s="2"/>
      <c r="C115" s="3"/>
      <c r="D115" s="1"/>
      <c r="E115" s="1"/>
      <c r="F115" s="1"/>
      <c r="G115" s="1"/>
      <c r="H115" s="3"/>
      <c r="I115" s="3"/>
      <c r="J115" s="3"/>
      <c r="K115" s="3"/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</row>
    <row r="116" spans="1:244" s="81" customFormat="1" x14ac:dyDescent="0.2">
      <c r="A116" s="48"/>
      <c r="B116" s="49" t="s">
        <v>59</v>
      </c>
      <c r="C116" s="41"/>
      <c r="D116" s="1"/>
      <c r="E116" s="50"/>
      <c r="F116" s="50">
        <f>SUM(F87:F115)</f>
        <v>53.512320000000003</v>
      </c>
      <c r="G116" s="50"/>
      <c r="H116" s="50"/>
      <c r="I116" s="50"/>
      <c r="J116" s="50">
        <f>CEILING(SUM(J87:J115),100)</f>
        <v>0</v>
      </c>
      <c r="K116" s="50">
        <f>CEILING(SUM(K87:K115),100)</f>
        <v>0</v>
      </c>
      <c r="L116" s="50">
        <f>J116+K116</f>
        <v>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</row>
    <row r="117" spans="1:244" s="81" customFormat="1" x14ac:dyDescent="0.2">
      <c r="A117" s="18"/>
      <c r="B117" s="9"/>
      <c r="C117" s="12"/>
      <c r="D117" s="24"/>
      <c r="E117" s="12"/>
      <c r="F117" s="12"/>
      <c r="G117" s="12"/>
      <c r="H117" s="11"/>
      <c r="I117" s="11"/>
      <c r="J117" s="11"/>
      <c r="K117" s="11"/>
      <c r="L117" s="1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</row>
    <row r="118" spans="1:244" s="43" customFormat="1" x14ac:dyDescent="0.2">
      <c r="A118" s="95" t="s">
        <v>58</v>
      </c>
      <c r="B118" s="13" t="s">
        <v>68</v>
      </c>
      <c r="C118" s="12"/>
      <c r="D118" s="12"/>
      <c r="E118" s="12"/>
      <c r="F118" s="12"/>
      <c r="G118" s="12"/>
      <c r="H118" s="11"/>
      <c r="I118" s="11"/>
      <c r="J118" s="11"/>
      <c r="K118" s="11"/>
      <c r="L118" s="1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</row>
    <row r="119" spans="1:244" s="81" customFormat="1" ht="28.5" x14ac:dyDescent="0.2">
      <c r="A119" s="54" t="s">
        <v>222</v>
      </c>
      <c r="B119" s="44" t="s">
        <v>99</v>
      </c>
      <c r="C119" s="41" t="s">
        <v>55</v>
      </c>
      <c r="D119" s="41">
        <f>16</f>
        <v>16</v>
      </c>
      <c r="E119" s="45">
        <v>0.6</v>
      </c>
      <c r="F119" s="41">
        <f>D119*E119</f>
        <v>9.6</v>
      </c>
      <c r="G119" s="41" t="s">
        <v>55</v>
      </c>
      <c r="H119" s="41"/>
      <c r="I119" s="41"/>
      <c r="J119" s="41">
        <f>$D119*H119</f>
        <v>0</v>
      </c>
      <c r="K119" s="41">
        <f>$D119*I119</f>
        <v>0</v>
      </c>
      <c r="L119" s="41">
        <f>J119+K119</f>
        <v>0</v>
      </c>
    </row>
    <row r="120" spans="1:244" s="81" customFormat="1" ht="41.25" x14ac:dyDescent="0.2">
      <c r="A120" s="54"/>
      <c r="B120" s="92" t="s">
        <v>100</v>
      </c>
      <c r="C120" s="41" t="s">
        <v>55</v>
      </c>
      <c r="D120" s="41">
        <f>D119</f>
        <v>16</v>
      </c>
      <c r="E120" s="45">
        <v>0.1</v>
      </c>
      <c r="F120" s="41">
        <f>D120*E120</f>
        <v>1.6</v>
      </c>
      <c r="G120" s="41" t="s">
        <v>55</v>
      </c>
      <c r="H120" s="41"/>
      <c r="I120" s="41"/>
      <c r="J120" s="41">
        <f t="shared" ref="J120:K135" si="25">$D120*H120</f>
        <v>0</v>
      </c>
      <c r="K120" s="41">
        <f t="shared" si="25"/>
        <v>0</v>
      </c>
      <c r="L120" s="41">
        <f>J120+K120</f>
        <v>0</v>
      </c>
    </row>
    <row r="121" spans="1:244" s="81" customFormat="1" ht="25.5" x14ac:dyDescent="0.2">
      <c r="A121" s="54" t="s">
        <v>220</v>
      </c>
      <c r="B121" s="44" t="s">
        <v>213</v>
      </c>
      <c r="C121" s="41" t="s">
        <v>55</v>
      </c>
      <c r="D121" s="41">
        <f>6</f>
        <v>6</v>
      </c>
      <c r="E121" s="45">
        <v>0.8</v>
      </c>
      <c r="F121" s="41">
        <f>D121*E121</f>
        <v>4.8000000000000007</v>
      </c>
      <c r="G121" s="41" t="s">
        <v>55</v>
      </c>
      <c r="H121" s="41"/>
      <c r="I121" s="41"/>
      <c r="J121" s="41">
        <f t="shared" si="25"/>
        <v>0</v>
      </c>
      <c r="K121" s="41">
        <f t="shared" si="25"/>
        <v>0</v>
      </c>
      <c r="L121" s="41">
        <f>J121+K121</f>
        <v>0</v>
      </c>
    </row>
    <row r="122" spans="1:244" s="81" customFormat="1" ht="25.5" x14ac:dyDescent="0.2">
      <c r="A122" s="54" t="s">
        <v>221</v>
      </c>
      <c r="B122" s="44" t="s">
        <v>101</v>
      </c>
      <c r="C122" s="41" t="s">
        <v>55</v>
      </c>
      <c r="D122" s="41">
        <f>1</f>
        <v>1</v>
      </c>
      <c r="E122" s="45">
        <v>1.4</v>
      </c>
      <c r="F122" s="41">
        <f>D122*E122</f>
        <v>1.4</v>
      </c>
      <c r="G122" s="41" t="s">
        <v>55</v>
      </c>
      <c r="H122" s="41"/>
      <c r="I122" s="41"/>
      <c r="J122" s="41">
        <f>$D122*H122</f>
        <v>0</v>
      </c>
      <c r="K122" s="41">
        <f>$D122*I122</f>
        <v>0</v>
      </c>
      <c r="L122" s="41">
        <f>J122+K122</f>
        <v>0</v>
      </c>
    </row>
    <row r="123" spans="1:244" s="81" customFormat="1" ht="25.5" x14ac:dyDescent="0.2">
      <c r="A123" s="54" t="s">
        <v>177</v>
      </c>
      <c r="B123" s="44" t="s">
        <v>179</v>
      </c>
      <c r="C123" s="41" t="s">
        <v>55</v>
      </c>
      <c r="D123" s="41">
        <f>21</f>
        <v>21</v>
      </c>
      <c r="E123" s="45">
        <v>2</v>
      </c>
      <c r="F123" s="41">
        <f t="shared" ref="F123:F129" si="26">D123*E123</f>
        <v>42</v>
      </c>
      <c r="G123" s="41" t="s">
        <v>55</v>
      </c>
      <c r="H123" s="41"/>
      <c r="I123" s="41"/>
      <c r="J123" s="41">
        <f t="shared" si="25"/>
        <v>0</v>
      </c>
      <c r="K123" s="41">
        <f t="shared" si="25"/>
        <v>0</v>
      </c>
      <c r="L123" s="41">
        <f t="shared" ref="L123:L129" si="27">J123+K123</f>
        <v>0</v>
      </c>
    </row>
    <row r="124" spans="1:244" s="81" customFormat="1" ht="25.5" x14ac:dyDescent="0.2">
      <c r="A124" s="54" t="s">
        <v>223</v>
      </c>
      <c r="B124" s="44" t="s">
        <v>214</v>
      </c>
      <c r="C124" s="41" t="s">
        <v>55</v>
      </c>
      <c r="D124" s="41">
        <f>2</f>
        <v>2</v>
      </c>
      <c r="E124" s="45">
        <v>3</v>
      </c>
      <c r="F124" s="41">
        <f t="shared" si="26"/>
        <v>6</v>
      </c>
      <c r="G124" s="41" t="s">
        <v>55</v>
      </c>
      <c r="H124" s="41"/>
      <c r="I124" s="41"/>
      <c r="J124" s="41">
        <f t="shared" si="25"/>
        <v>0</v>
      </c>
      <c r="K124" s="41">
        <f t="shared" si="25"/>
        <v>0</v>
      </c>
      <c r="L124" s="41">
        <f t="shared" si="27"/>
        <v>0</v>
      </c>
    </row>
    <row r="125" spans="1:244" s="81" customFormat="1" ht="25.5" x14ac:dyDescent="0.2">
      <c r="A125" s="54" t="s">
        <v>225</v>
      </c>
      <c r="B125" s="44" t="s">
        <v>224</v>
      </c>
      <c r="C125" s="41" t="s">
        <v>55</v>
      </c>
      <c r="D125" s="41">
        <f>2</f>
        <v>2</v>
      </c>
      <c r="E125" s="45">
        <v>2.4</v>
      </c>
      <c r="F125" s="41">
        <f t="shared" si="26"/>
        <v>4.8</v>
      </c>
      <c r="G125" s="41" t="s">
        <v>55</v>
      </c>
      <c r="H125" s="41"/>
      <c r="I125" s="41"/>
      <c r="J125" s="41">
        <f t="shared" si="25"/>
        <v>0</v>
      </c>
      <c r="K125" s="41">
        <f t="shared" si="25"/>
        <v>0</v>
      </c>
      <c r="L125" s="41">
        <f t="shared" si="27"/>
        <v>0</v>
      </c>
    </row>
    <row r="126" spans="1:244" s="81" customFormat="1" ht="25.5" x14ac:dyDescent="0.2">
      <c r="A126" s="54" t="s">
        <v>229</v>
      </c>
      <c r="B126" s="44" t="s">
        <v>215</v>
      </c>
      <c r="C126" s="41" t="s">
        <v>55</v>
      </c>
      <c r="D126" s="41">
        <f>2</f>
        <v>2</v>
      </c>
      <c r="E126" s="45">
        <v>3</v>
      </c>
      <c r="F126" s="41">
        <f t="shared" si="26"/>
        <v>6</v>
      </c>
      <c r="G126" s="41" t="s">
        <v>55</v>
      </c>
      <c r="H126" s="41"/>
      <c r="I126" s="41"/>
      <c r="J126" s="41">
        <f t="shared" si="25"/>
        <v>0</v>
      </c>
      <c r="K126" s="41">
        <f t="shared" si="25"/>
        <v>0</v>
      </c>
      <c r="L126" s="41">
        <f t="shared" si="27"/>
        <v>0</v>
      </c>
    </row>
    <row r="127" spans="1:244" s="81" customFormat="1" ht="25.5" x14ac:dyDescent="0.2">
      <c r="A127" s="54" t="s">
        <v>227</v>
      </c>
      <c r="B127" s="44" t="s">
        <v>216</v>
      </c>
      <c r="C127" s="41" t="s">
        <v>55</v>
      </c>
      <c r="D127" s="41">
        <f>7-2</f>
        <v>5</v>
      </c>
      <c r="E127" s="45">
        <v>4.2</v>
      </c>
      <c r="F127" s="41">
        <f t="shared" si="26"/>
        <v>21</v>
      </c>
      <c r="G127" s="41" t="s">
        <v>55</v>
      </c>
      <c r="H127" s="41"/>
      <c r="I127" s="41"/>
      <c r="J127" s="41">
        <f t="shared" si="25"/>
        <v>0</v>
      </c>
      <c r="K127" s="41">
        <f t="shared" si="25"/>
        <v>0</v>
      </c>
      <c r="L127" s="41">
        <f t="shared" si="27"/>
        <v>0</v>
      </c>
    </row>
    <row r="128" spans="1:244" s="81" customFormat="1" ht="25.5" x14ac:dyDescent="0.2">
      <c r="A128" s="54" t="s">
        <v>228</v>
      </c>
      <c r="B128" s="44" t="s">
        <v>226</v>
      </c>
      <c r="C128" s="41" t="s">
        <v>55</v>
      </c>
      <c r="D128" s="41">
        <f>2</f>
        <v>2</v>
      </c>
      <c r="E128" s="45">
        <v>3.2</v>
      </c>
      <c r="F128" s="41">
        <f t="shared" si="26"/>
        <v>6.4</v>
      </c>
      <c r="G128" s="41" t="s">
        <v>55</v>
      </c>
      <c r="H128" s="41"/>
      <c r="I128" s="41"/>
      <c r="J128" s="41">
        <f t="shared" si="25"/>
        <v>0</v>
      </c>
      <c r="K128" s="41">
        <f t="shared" si="25"/>
        <v>0</v>
      </c>
      <c r="L128" s="41">
        <f t="shared" si="27"/>
        <v>0</v>
      </c>
    </row>
    <row r="129" spans="1:244" s="81" customFormat="1" ht="25.5" x14ac:dyDescent="0.2">
      <c r="A129" s="54" t="s">
        <v>230</v>
      </c>
      <c r="B129" s="44" t="s">
        <v>217</v>
      </c>
      <c r="C129" s="41" t="s">
        <v>55</v>
      </c>
      <c r="D129" s="41">
        <f>6</f>
        <v>6</v>
      </c>
      <c r="E129" s="45">
        <v>6.3</v>
      </c>
      <c r="F129" s="41">
        <f t="shared" si="26"/>
        <v>37.799999999999997</v>
      </c>
      <c r="G129" s="41" t="s">
        <v>55</v>
      </c>
      <c r="H129" s="41"/>
      <c r="I129" s="41"/>
      <c r="J129" s="41">
        <f t="shared" si="25"/>
        <v>0</v>
      </c>
      <c r="K129" s="41">
        <f t="shared" si="25"/>
        <v>0</v>
      </c>
      <c r="L129" s="41">
        <f t="shared" si="27"/>
        <v>0</v>
      </c>
    </row>
    <row r="130" spans="1:244" s="81" customFormat="1" ht="25.5" x14ac:dyDescent="0.2">
      <c r="A130" s="54" t="s">
        <v>231</v>
      </c>
      <c r="B130" s="44" t="s">
        <v>218</v>
      </c>
      <c r="C130" s="41" t="s">
        <v>55</v>
      </c>
      <c r="D130" s="41">
        <f>6</f>
        <v>6</v>
      </c>
      <c r="E130" s="45">
        <v>10.9</v>
      </c>
      <c r="F130" s="41">
        <f t="shared" ref="F130:F145" si="28">D130*E130</f>
        <v>65.400000000000006</v>
      </c>
      <c r="G130" s="41" t="s">
        <v>55</v>
      </c>
      <c r="H130" s="41"/>
      <c r="I130" s="41"/>
      <c r="J130" s="41">
        <f t="shared" si="25"/>
        <v>0</v>
      </c>
      <c r="K130" s="41">
        <f t="shared" si="25"/>
        <v>0</v>
      </c>
      <c r="L130" s="41">
        <f t="shared" ref="L130:L145" si="29">J130+K130</f>
        <v>0</v>
      </c>
    </row>
    <row r="131" spans="1:244" s="81" customFormat="1" ht="25.5" x14ac:dyDescent="0.2">
      <c r="A131" s="54" t="s">
        <v>233</v>
      </c>
      <c r="B131" s="44" t="s">
        <v>219</v>
      </c>
      <c r="C131" s="41" t="s">
        <v>55</v>
      </c>
      <c r="D131" s="41">
        <f>2</f>
        <v>2</v>
      </c>
      <c r="E131" s="45">
        <v>32.799999999999997</v>
      </c>
      <c r="F131" s="41">
        <f t="shared" si="28"/>
        <v>65.599999999999994</v>
      </c>
      <c r="G131" s="41" t="s">
        <v>55</v>
      </c>
      <c r="H131" s="41"/>
      <c r="I131" s="41"/>
      <c r="J131" s="41">
        <f t="shared" si="25"/>
        <v>0</v>
      </c>
      <c r="K131" s="41">
        <f t="shared" si="25"/>
        <v>0</v>
      </c>
      <c r="L131" s="41">
        <f t="shared" si="29"/>
        <v>0</v>
      </c>
    </row>
    <row r="132" spans="1:244" s="81" customFormat="1" ht="25.5" x14ac:dyDescent="0.2">
      <c r="A132" s="54" t="s">
        <v>234</v>
      </c>
      <c r="B132" s="44" t="s">
        <v>232</v>
      </c>
      <c r="C132" s="41" t="s">
        <v>55</v>
      </c>
      <c r="D132" s="41">
        <f>2</f>
        <v>2</v>
      </c>
      <c r="E132" s="45">
        <v>28.1</v>
      </c>
      <c r="F132" s="41">
        <f t="shared" si="28"/>
        <v>56.2</v>
      </c>
      <c r="G132" s="41" t="s">
        <v>55</v>
      </c>
      <c r="H132" s="41"/>
      <c r="I132" s="41"/>
      <c r="J132" s="41">
        <f t="shared" si="25"/>
        <v>0</v>
      </c>
      <c r="K132" s="41">
        <f t="shared" si="25"/>
        <v>0</v>
      </c>
      <c r="L132" s="41">
        <f t="shared" si="29"/>
        <v>0</v>
      </c>
    </row>
    <row r="133" spans="1:244" s="81" customFormat="1" ht="25.5" x14ac:dyDescent="0.2">
      <c r="A133" s="54" t="s">
        <v>239</v>
      </c>
      <c r="B133" s="44" t="s">
        <v>238</v>
      </c>
      <c r="C133" s="41" t="s">
        <v>55</v>
      </c>
      <c r="D133" s="41">
        <f>2</f>
        <v>2</v>
      </c>
      <c r="E133" s="45">
        <v>0.8</v>
      </c>
      <c r="F133" s="41">
        <f t="shared" si="28"/>
        <v>1.6</v>
      </c>
      <c r="G133" s="41" t="s">
        <v>55</v>
      </c>
      <c r="H133" s="41"/>
      <c r="I133" s="41"/>
      <c r="J133" s="41">
        <f t="shared" si="25"/>
        <v>0</v>
      </c>
      <c r="K133" s="41">
        <f t="shared" si="25"/>
        <v>0</v>
      </c>
      <c r="L133" s="41">
        <f t="shared" si="29"/>
        <v>0</v>
      </c>
    </row>
    <row r="134" spans="1:244" s="81" customFormat="1" ht="25.5" x14ac:dyDescent="0.2">
      <c r="A134" s="54" t="s">
        <v>240</v>
      </c>
      <c r="B134" s="44" t="s">
        <v>235</v>
      </c>
      <c r="C134" s="41" t="s">
        <v>55</v>
      </c>
      <c r="D134" s="41">
        <f>1</f>
        <v>1</v>
      </c>
      <c r="E134" s="45">
        <v>3</v>
      </c>
      <c r="F134" s="41">
        <f t="shared" si="28"/>
        <v>3</v>
      </c>
      <c r="G134" s="41" t="s">
        <v>55</v>
      </c>
      <c r="H134" s="41"/>
      <c r="I134" s="41"/>
      <c r="J134" s="41">
        <f t="shared" si="25"/>
        <v>0</v>
      </c>
      <c r="K134" s="41">
        <f t="shared" si="25"/>
        <v>0</v>
      </c>
      <c r="L134" s="41">
        <f t="shared" si="29"/>
        <v>0</v>
      </c>
    </row>
    <row r="135" spans="1:244" s="81" customFormat="1" ht="25.5" x14ac:dyDescent="0.2">
      <c r="A135" s="54" t="s">
        <v>237</v>
      </c>
      <c r="B135" s="44" t="s">
        <v>236</v>
      </c>
      <c r="C135" s="41" t="s">
        <v>55</v>
      </c>
      <c r="D135" s="41">
        <f>1</f>
        <v>1</v>
      </c>
      <c r="E135" s="45">
        <v>3</v>
      </c>
      <c r="F135" s="41">
        <f t="shared" si="28"/>
        <v>3</v>
      </c>
      <c r="G135" s="41" t="s">
        <v>55</v>
      </c>
      <c r="H135" s="41"/>
      <c r="I135" s="41"/>
      <c r="J135" s="41">
        <f t="shared" si="25"/>
        <v>0</v>
      </c>
      <c r="K135" s="41">
        <f t="shared" si="25"/>
        <v>0</v>
      </c>
      <c r="L135" s="41">
        <f t="shared" si="29"/>
        <v>0</v>
      </c>
    </row>
    <row r="136" spans="1:244" s="81" customFormat="1" ht="51" x14ac:dyDescent="0.2">
      <c r="A136" s="54" t="s">
        <v>176</v>
      </c>
      <c r="B136" s="44" t="s">
        <v>103</v>
      </c>
      <c r="C136" s="41" t="s">
        <v>55</v>
      </c>
      <c r="D136" s="41">
        <f>15</f>
        <v>15</v>
      </c>
      <c r="E136" s="45">
        <v>1.4</v>
      </c>
      <c r="F136" s="41">
        <f t="shared" si="28"/>
        <v>21</v>
      </c>
      <c r="G136" s="41" t="s">
        <v>55</v>
      </c>
      <c r="H136" s="41"/>
      <c r="I136" s="41"/>
      <c r="J136" s="41">
        <f t="shared" ref="J136:K138" si="30">$D136*H136</f>
        <v>0</v>
      </c>
      <c r="K136" s="41">
        <f t="shared" si="30"/>
        <v>0</v>
      </c>
      <c r="L136" s="41">
        <f t="shared" si="29"/>
        <v>0</v>
      </c>
    </row>
    <row r="137" spans="1:244" s="81" customFormat="1" ht="38.25" x14ac:dyDescent="0.2">
      <c r="A137" s="54" t="s">
        <v>241</v>
      </c>
      <c r="B137" s="44" t="s">
        <v>142</v>
      </c>
      <c r="C137" s="41" t="s">
        <v>55</v>
      </c>
      <c r="D137" s="41">
        <f>1</f>
        <v>1</v>
      </c>
      <c r="E137" s="45">
        <v>9.3000000000000007</v>
      </c>
      <c r="F137" s="41">
        <f t="shared" si="28"/>
        <v>9.3000000000000007</v>
      </c>
      <c r="G137" s="41" t="s">
        <v>55</v>
      </c>
      <c r="H137" s="41"/>
      <c r="I137" s="41"/>
      <c r="J137" s="41">
        <f t="shared" si="30"/>
        <v>0</v>
      </c>
      <c r="K137" s="41">
        <f t="shared" si="30"/>
        <v>0</v>
      </c>
      <c r="L137" s="41">
        <f t="shared" si="29"/>
        <v>0</v>
      </c>
    </row>
    <row r="138" spans="1:244" s="81" customFormat="1" ht="38.25" x14ac:dyDescent="0.2">
      <c r="A138" s="54" t="s">
        <v>242</v>
      </c>
      <c r="B138" s="44" t="s">
        <v>104</v>
      </c>
      <c r="C138" s="41" t="s">
        <v>55</v>
      </c>
      <c r="D138" s="41">
        <f>1</f>
        <v>1</v>
      </c>
      <c r="E138" s="45">
        <v>11.9</v>
      </c>
      <c r="F138" s="41">
        <f t="shared" si="28"/>
        <v>11.9</v>
      </c>
      <c r="G138" s="41" t="s">
        <v>55</v>
      </c>
      <c r="H138" s="41"/>
      <c r="I138" s="41"/>
      <c r="J138" s="41">
        <f t="shared" si="30"/>
        <v>0</v>
      </c>
      <c r="K138" s="41">
        <f t="shared" si="30"/>
        <v>0</v>
      </c>
      <c r="L138" s="41">
        <f t="shared" si="29"/>
        <v>0</v>
      </c>
    </row>
    <row r="139" spans="1:244" s="81" customFormat="1" ht="38.25" x14ac:dyDescent="0.2">
      <c r="A139" s="54" t="s">
        <v>243</v>
      </c>
      <c r="B139" s="44" t="s">
        <v>143</v>
      </c>
      <c r="C139" s="41" t="s">
        <v>55</v>
      </c>
      <c r="D139" s="41">
        <f>1</f>
        <v>1</v>
      </c>
      <c r="E139" s="45">
        <v>11.9</v>
      </c>
      <c r="F139" s="41">
        <f t="shared" si="28"/>
        <v>11.9</v>
      </c>
      <c r="G139" s="41" t="s">
        <v>55</v>
      </c>
      <c r="H139" s="41"/>
      <c r="I139" s="41"/>
      <c r="J139" s="41">
        <f>$D139*H139</f>
        <v>0</v>
      </c>
      <c r="K139" s="41">
        <f>$D139*I139</f>
        <v>0</v>
      </c>
      <c r="L139" s="41">
        <f t="shared" si="29"/>
        <v>0</v>
      </c>
    </row>
    <row r="140" spans="1:244" s="84" customFormat="1" ht="25.5" x14ac:dyDescent="0.2">
      <c r="A140" s="54" t="s">
        <v>244</v>
      </c>
      <c r="B140" s="40" t="s">
        <v>106</v>
      </c>
      <c r="C140" s="41" t="s">
        <v>55</v>
      </c>
      <c r="D140" s="41">
        <f>1</f>
        <v>1</v>
      </c>
      <c r="E140" s="45">
        <v>3.5</v>
      </c>
      <c r="F140" s="41">
        <f t="shared" si="28"/>
        <v>3.5</v>
      </c>
      <c r="G140" s="41" t="s">
        <v>55</v>
      </c>
      <c r="H140" s="41"/>
      <c r="I140" s="41"/>
      <c r="J140" s="41">
        <f t="shared" ref="J140:K145" si="31">$D140*H140</f>
        <v>0</v>
      </c>
      <c r="K140" s="41">
        <f>$D140*I140</f>
        <v>0</v>
      </c>
      <c r="L140" s="41">
        <f t="shared" si="29"/>
        <v>0</v>
      </c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</row>
    <row r="141" spans="1:244" s="84" customFormat="1" ht="25.5" x14ac:dyDescent="0.2">
      <c r="A141" s="54" t="s">
        <v>245</v>
      </c>
      <c r="B141" s="40" t="s">
        <v>134</v>
      </c>
      <c r="C141" s="41" t="s">
        <v>55</v>
      </c>
      <c r="D141" s="41">
        <f>1</f>
        <v>1</v>
      </c>
      <c r="E141" s="45">
        <v>21.2</v>
      </c>
      <c r="F141" s="41">
        <f t="shared" si="28"/>
        <v>21.2</v>
      </c>
      <c r="G141" s="41" t="s">
        <v>55</v>
      </c>
      <c r="H141" s="41"/>
      <c r="I141" s="41"/>
      <c r="J141" s="41">
        <f t="shared" si="31"/>
        <v>0</v>
      </c>
      <c r="K141" s="41">
        <f>$D141*I141</f>
        <v>0</v>
      </c>
      <c r="L141" s="41">
        <f t="shared" si="29"/>
        <v>0</v>
      </c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  <c r="HY141" s="81"/>
      <c r="HZ141" s="81"/>
      <c r="IA141" s="81"/>
      <c r="IB141" s="81"/>
      <c r="IC141" s="81"/>
      <c r="ID141" s="81"/>
      <c r="IE141" s="81"/>
      <c r="IF141" s="81"/>
      <c r="IG141" s="81"/>
      <c r="IH141" s="81"/>
      <c r="II141" s="81"/>
      <c r="IJ141" s="81"/>
    </row>
    <row r="142" spans="1:244" s="81" customFormat="1" ht="41.25" x14ac:dyDescent="0.2">
      <c r="A142" s="54" t="s">
        <v>246</v>
      </c>
      <c r="B142" s="40" t="s">
        <v>114</v>
      </c>
      <c r="C142" s="41" t="s">
        <v>55</v>
      </c>
      <c r="D142" s="41">
        <f>2</f>
        <v>2</v>
      </c>
      <c r="E142" s="45">
        <v>36</v>
      </c>
      <c r="F142" s="45">
        <f t="shared" si="28"/>
        <v>72</v>
      </c>
      <c r="G142" s="41" t="s">
        <v>55</v>
      </c>
      <c r="H142" s="41"/>
      <c r="I142" s="41"/>
      <c r="J142" s="41">
        <f t="shared" si="31"/>
        <v>0</v>
      </c>
      <c r="K142" s="41">
        <f>$D142*I142</f>
        <v>0</v>
      </c>
      <c r="L142" s="41">
        <f t="shared" si="29"/>
        <v>0</v>
      </c>
    </row>
    <row r="143" spans="1:244" s="43" customFormat="1" ht="28.5" x14ac:dyDescent="0.2">
      <c r="A143" s="54" t="s">
        <v>390</v>
      </c>
      <c r="B143" s="44" t="s">
        <v>391</v>
      </c>
      <c r="C143" s="41" t="s">
        <v>55</v>
      </c>
      <c r="D143" s="41">
        <f>3</f>
        <v>3</v>
      </c>
      <c r="E143" s="45">
        <v>5.2999999999999999E-2</v>
      </c>
      <c r="F143" s="45">
        <f t="shared" si="28"/>
        <v>0.159</v>
      </c>
      <c r="G143" s="41" t="s">
        <v>55</v>
      </c>
      <c r="H143" s="41"/>
      <c r="I143" s="41"/>
      <c r="J143" s="41">
        <f t="shared" si="31"/>
        <v>0</v>
      </c>
      <c r="K143" s="41">
        <f t="shared" si="31"/>
        <v>0</v>
      </c>
      <c r="L143" s="41">
        <f t="shared" si="29"/>
        <v>0</v>
      </c>
    </row>
    <row r="144" spans="1:244" s="43" customFormat="1" ht="15.75" x14ac:dyDescent="0.2">
      <c r="A144" s="54"/>
      <c r="B144" s="92" t="s">
        <v>392</v>
      </c>
      <c r="C144" s="41" t="s">
        <v>55</v>
      </c>
      <c r="D144" s="41">
        <f>D143</f>
        <v>3</v>
      </c>
      <c r="E144" s="45">
        <v>0.05</v>
      </c>
      <c r="F144" s="45">
        <f t="shared" si="28"/>
        <v>0.15000000000000002</v>
      </c>
      <c r="G144" s="41" t="s">
        <v>55</v>
      </c>
      <c r="H144" s="41"/>
      <c r="I144" s="41"/>
      <c r="J144" s="41">
        <f t="shared" si="31"/>
        <v>0</v>
      </c>
      <c r="K144" s="41">
        <f t="shared" si="31"/>
        <v>0</v>
      </c>
      <c r="L144" s="41">
        <f t="shared" si="29"/>
        <v>0</v>
      </c>
    </row>
    <row r="145" spans="1:244" s="43" customFormat="1" x14ac:dyDescent="0.2">
      <c r="A145" s="54"/>
      <c r="B145" s="56" t="s">
        <v>146</v>
      </c>
      <c r="C145" s="41" t="s">
        <v>55</v>
      </c>
      <c r="D145" s="41">
        <f>CEILING(D143,5)</f>
        <v>5</v>
      </c>
      <c r="E145" s="45">
        <f>0.00062</f>
        <v>6.2E-4</v>
      </c>
      <c r="F145" s="45">
        <f t="shared" si="28"/>
        <v>3.0999999999999999E-3</v>
      </c>
      <c r="G145" s="41" t="s">
        <v>55</v>
      </c>
      <c r="H145" s="41"/>
      <c r="I145" s="41"/>
      <c r="J145" s="41">
        <f t="shared" si="31"/>
        <v>0</v>
      </c>
      <c r="K145" s="41">
        <f t="shared" si="31"/>
        <v>0</v>
      </c>
      <c r="L145" s="41">
        <f t="shared" si="29"/>
        <v>0</v>
      </c>
    </row>
    <row r="146" spans="1:244" s="43" customFormat="1" x14ac:dyDescent="0.2">
      <c r="A146" s="16"/>
      <c r="B146" s="2"/>
      <c r="C146" s="3"/>
      <c r="D146" s="1"/>
      <c r="E146" s="1"/>
      <c r="F146" s="1"/>
      <c r="G146" s="1"/>
      <c r="H146" s="3"/>
      <c r="I146" s="3"/>
      <c r="J146" s="3"/>
      <c r="K146" s="3"/>
      <c r="L146" s="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</row>
    <row r="147" spans="1:244" s="43" customFormat="1" x14ac:dyDescent="0.2">
      <c r="A147" s="48"/>
      <c r="B147" s="49" t="s">
        <v>59</v>
      </c>
      <c r="C147" s="41"/>
      <c r="D147" s="1"/>
      <c r="E147" s="50"/>
      <c r="F147" s="50">
        <f>SUM(F118:F146)</f>
        <v>487.31209999999993</v>
      </c>
      <c r="G147" s="50"/>
      <c r="H147" s="50"/>
      <c r="I147" s="50"/>
      <c r="J147" s="50">
        <f>CEILING(SUM(J118:J146),100)</f>
        <v>0</v>
      </c>
      <c r="K147" s="50">
        <f>CEILING(SUM(K118:K146),100)</f>
        <v>0</v>
      </c>
      <c r="L147" s="50">
        <f>J147+K147</f>
        <v>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</row>
    <row r="148" spans="1:244" s="43" customFormat="1" x14ac:dyDescent="0.2">
      <c r="A148" s="18"/>
      <c r="B148" s="9"/>
      <c r="C148" s="12"/>
      <c r="D148" s="24"/>
      <c r="E148" s="12"/>
      <c r="F148" s="12"/>
      <c r="G148" s="12"/>
      <c r="H148" s="11"/>
      <c r="I148" s="11"/>
      <c r="J148" s="11"/>
      <c r="K148" s="11"/>
      <c r="L148" s="1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</row>
    <row r="149" spans="1:244" s="43" customFormat="1" x14ac:dyDescent="0.2">
      <c r="A149" s="95" t="s">
        <v>107</v>
      </c>
      <c r="B149" s="13" t="s">
        <v>379</v>
      </c>
      <c r="C149" s="12"/>
      <c r="D149" s="12"/>
      <c r="E149" s="12"/>
      <c r="F149" s="12"/>
      <c r="G149" s="12"/>
      <c r="H149" s="11"/>
      <c r="I149" s="11"/>
      <c r="J149" s="11"/>
      <c r="K149" s="11"/>
      <c r="L149" s="1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</row>
    <row r="150" spans="1:244" s="43" customFormat="1" ht="28.5" x14ac:dyDescent="0.2">
      <c r="A150" s="54" t="s">
        <v>252</v>
      </c>
      <c r="B150" s="44" t="s">
        <v>144</v>
      </c>
      <c r="C150" s="41" t="s">
        <v>55</v>
      </c>
      <c r="D150" s="41">
        <f>4+1</f>
        <v>5</v>
      </c>
      <c r="E150" s="45">
        <v>0.23</v>
      </c>
      <c r="F150" s="45">
        <f>D150*E150</f>
        <v>1.1500000000000001</v>
      </c>
      <c r="G150" s="41" t="s">
        <v>55</v>
      </c>
      <c r="H150" s="41"/>
      <c r="I150" s="41"/>
      <c r="J150" s="41">
        <f>$D150*H150</f>
        <v>0</v>
      </c>
      <c r="K150" s="41">
        <f>$D150*I150</f>
        <v>0</v>
      </c>
      <c r="L150" s="41">
        <f>J150+K150</f>
        <v>0</v>
      </c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</row>
    <row r="151" spans="1:244" s="43" customFormat="1" ht="28.5" x14ac:dyDescent="0.2">
      <c r="A151" s="54" t="s">
        <v>253</v>
      </c>
      <c r="B151" s="44" t="s">
        <v>145</v>
      </c>
      <c r="C151" s="41" t="s">
        <v>55</v>
      </c>
      <c r="D151" s="41">
        <f>7+1+1+1</f>
        <v>10</v>
      </c>
      <c r="E151" s="45">
        <f>0.28</f>
        <v>0.28000000000000003</v>
      </c>
      <c r="F151" s="45">
        <f t="shared" ref="F151:F158" si="32">D151*E151</f>
        <v>2.8000000000000003</v>
      </c>
      <c r="G151" s="41" t="s">
        <v>55</v>
      </c>
      <c r="H151" s="41"/>
      <c r="I151" s="41"/>
      <c r="J151" s="41">
        <f t="shared" ref="J151:K158" si="33">$D151*H151</f>
        <v>0</v>
      </c>
      <c r="K151" s="41">
        <f t="shared" si="33"/>
        <v>0</v>
      </c>
      <c r="L151" s="41">
        <f t="shared" ref="L151:L158" si="34">J151+K151</f>
        <v>0</v>
      </c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</row>
    <row r="152" spans="1:244" s="81" customFormat="1" ht="25.5" x14ac:dyDescent="0.2">
      <c r="A152" s="54" t="s">
        <v>251</v>
      </c>
      <c r="B152" s="44" t="s">
        <v>247</v>
      </c>
      <c r="C152" s="41" t="s">
        <v>55</v>
      </c>
      <c r="D152" s="41">
        <f>8+5-1</f>
        <v>12</v>
      </c>
      <c r="E152" s="45">
        <f>0.68</f>
        <v>0.68</v>
      </c>
      <c r="F152" s="45">
        <f t="shared" si="32"/>
        <v>8.16</v>
      </c>
      <c r="G152" s="41" t="s">
        <v>55</v>
      </c>
      <c r="H152" s="41"/>
      <c r="I152" s="41"/>
      <c r="J152" s="41">
        <f t="shared" si="33"/>
        <v>0</v>
      </c>
      <c r="K152" s="41">
        <f t="shared" si="33"/>
        <v>0</v>
      </c>
      <c r="L152" s="41">
        <f t="shared" si="34"/>
        <v>0</v>
      </c>
    </row>
    <row r="153" spans="1:244" s="81" customFormat="1" ht="28.5" x14ac:dyDescent="0.2">
      <c r="A153" s="54" t="s">
        <v>254</v>
      </c>
      <c r="B153" s="44" t="s">
        <v>248</v>
      </c>
      <c r="C153" s="41" t="s">
        <v>55</v>
      </c>
      <c r="D153" s="41">
        <f>8+2</f>
        <v>10</v>
      </c>
      <c r="E153" s="45">
        <f>1.06</f>
        <v>1.06</v>
      </c>
      <c r="F153" s="45">
        <f t="shared" si="32"/>
        <v>10.600000000000001</v>
      </c>
      <c r="G153" s="41" t="s">
        <v>55</v>
      </c>
      <c r="H153" s="41"/>
      <c r="I153" s="41"/>
      <c r="J153" s="41">
        <f t="shared" si="33"/>
        <v>0</v>
      </c>
      <c r="K153" s="41">
        <f t="shared" si="33"/>
        <v>0</v>
      </c>
      <c r="L153" s="41">
        <f t="shared" si="34"/>
        <v>0</v>
      </c>
    </row>
    <row r="154" spans="1:244" s="81" customFormat="1" ht="25.5" x14ac:dyDescent="0.2">
      <c r="A154" s="54" t="s">
        <v>388</v>
      </c>
      <c r="B154" s="44" t="s">
        <v>384</v>
      </c>
      <c r="C154" s="41" t="s">
        <v>55</v>
      </c>
      <c r="D154" s="41">
        <f>2</f>
        <v>2</v>
      </c>
      <c r="E154" s="45">
        <f>2.52</f>
        <v>2.52</v>
      </c>
      <c r="F154" s="45">
        <f t="shared" si="32"/>
        <v>5.04</v>
      </c>
      <c r="G154" s="41" t="s">
        <v>55</v>
      </c>
      <c r="H154" s="41"/>
      <c r="I154" s="41"/>
      <c r="J154" s="41">
        <f t="shared" si="33"/>
        <v>0</v>
      </c>
      <c r="K154" s="41">
        <f t="shared" si="33"/>
        <v>0</v>
      </c>
      <c r="L154" s="41">
        <f t="shared" si="34"/>
        <v>0</v>
      </c>
    </row>
    <row r="155" spans="1:244" s="43" customFormat="1" ht="25.5" x14ac:dyDescent="0.2">
      <c r="A155" s="87" t="s">
        <v>415</v>
      </c>
      <c r="B155" s="44" t="s">
        <v>414</v>
      </c>
      <c r="C155" s="41" t="s">
        <v>55</v>
      </c>
      <c r="D155" s="41">
        <f>4</f>
        <v>4</v>
      </c>
      <c r="E155" s="45">
        <v>1.4</v>
      </c>
      <c r="F155" s="45">
        <f t="shared" si="32"/>
        <v>5.6</v>
      </c>
      <c r="G155" s="41" t="s">
        <v>55</v>
      </c>
      <c r="H155" s="41"/>
      <c r="I155" s="41"/>
      <c r="J155" s="41">
        <f t="shared" si="33"/>
        <v>0</v>
      </c>
      <c r="K155" s="41">
        <f t="shared" si="33"/>
        <v>0</v>
      </c>
      <c r="L155" s="41">
        <f t="shared" si="34"/>
        <v>0</v>
      </c>
    </row>
    <row r="156" spans="1:244" s="81" customFormat="1" ht="25.5" x14ac:dyDescent="0.2">
      <c r="A156" s="87" t="s">
        <v>258</v>
      </c>
      <c r="B156" s="44" t="s">
        <v>259</v>
      </c>
      <c r="C156" s="41" t="s">
        <v>55</v>
      </c>
      <c r="D156" s="41">
        <f>2</f>
        <v>2</v>
      </c>
      <c r="E156" s="45">
        <v>1.7</v>
      </c>
      <c r="F156" s="45">
        <f t="shared" si="32"/>
        <v>3.4</v>
      </c>
      <c r="G156" s="41" t="s">
        <v>55</v>
      </c>
      <c r="H156" s="41"/>
      <c r="I156" s="41"/>
      <c r="J156" s="41">
        <f t="shared" si="33"/>
        <v>0</v>
      </c>
      <c r="K156" s="41">
        <f t="shared" si="33"/>
        <v>0</v>
      </c>
      <c r="L156" s="41">
        <f t="shared" si="34"/>
        <v>0</v>
      </c>
    </row>
    <row r="157" spans="1:244" s="43" customFormat="1" ht="28.5" x14ac:dyDescent="0.2">
      <c r="A157" s="87" t="s">
        <v>250</v>
      </c>
      <c r="B157" s="44" t="s">
        <v>432</v>
      </c>
      <c r="C157" s="41" t="s">
        <v>55</v>
      </c>
      <c r="D157" s="41">
        <f>1</f>
        <v>1</v>
      </c>
      <c r="E157" s="45">
        <v>0.28000000000000003</v>
      </c>
      <c r="F157" s="41">
        <f t="shared" si="32"/>
        <v>0.28000000000000003</v>
      </c>
      <c r="G157" s="41" t="s">
        <v>55</v>
      </c>
      <c r="H157" s="41"/>
      <c r="I157" s="41"/>
      <c r="J157" s="41">
        <f t="shared" si="33"/>
        <v>0</v>
      </c>
      <c r="K157" s="41">
        <f t="shared" si="33"/>
        <v>0</v>
      </c>
      <c r="L157" s="41">
        <f t="shared" si="34"/>
        <v>0</v>
      </c>
    </row>
    <row r="158" spans="1:244" s="43" customFormat="1" ht="25.5" x14ac:dyDescent="0.2">
      <c r="A158" s="87"/>
      <c r="B158" s="40" t="s">
        <v>431</v>
      </c>
      <c r="C158" s="41" t="s">
        <v>55</v>
      </c>
      <c r="D158" s="41">
        <f>D157</f>
        <v>1</v>
      </c>
      <c r="E158" s="45">
        <v>0.1</v>
      </c>
      <c r="F158" s="45">
        <f t="shared" si="32"/>
        <v>0.1</v>
      </c>
      <c r="G158" s="41" t="s">
        <v>55</v>
      </c>
      <c r="H158" s="41"/>
      <c r="I158" s="41"/>
      <c r="J158" s="41">
        <f t="shared" si="33"/>
        <v>0</v>
      </c>
      <c r="K158" s="41">
        <f t="shared" si="33"/>
        <v>0</v>
      </c>
      <c r="L158" s="41">
        <f t="shared" si="34"/>
        <v>0</v>
      </c>
    </row>
    <row r="159" spans="1:244" s="43" customFormat="1" ht="28.5" x14ac:dyDescent="0.2">
      <c r="A159" s="87" t="s">
        <v>250</v>
      </c>
      <c r="B159" s="44" t="s">
        <v>361</v>
      </c>
      <c r="C159" s="41" t="s">
        <v>55</v>
      </c>
      <c r="D159" s="41">
        <f>1</f>
        <v>1</v>
      </c>
      <c r="E159" s="45">
        <v>0.36</v>
      </c>
      <c r="F159" s="45">
        <f t="shared" ref="F159:F164" si="35">D159*E159</f>
        <v>0.36</v>
      </c>
      <c r="G159" s="41" t="s">
        <v>55</v>
      </c>
      <c r="H159" s="41"/>
      <c r="I159" s="41"/>
      <c r="J159" s="41">
        <f t="shared" ref="J159:K164" si="36">$D159*H159</f>
        <v>0</v>
      </c>
      <c r="K159" s="41">
        <f t="shared" si="36"/>
        <v>0</v>
      </c>
      <c r="L159" s="41">
        <f t="shared" ref="L159:L164" si="37">J159+K159</f>
        <v>0</v>
      </c>
    </row>
    <row r="160" spans="1:244" s="81" customFormat="1" ht="25.5" x14ac:dyDescent="0.2">
      <c r="A160" s="87"/>
      <c r="B160" s="40" t="s">
        <v>249</v>
      </c>
      <c r="C160" s="41" t="s">
        <v>55</v>
      </c>
      <c r="D160" s="41">
        <f>D159</f>
        <v>1</v>
      </c>
      <c r="E160" s="45">
        <v>0.16</v>
      </c>
      <c r="F160" s="45">
        <f t="shared" si="35"/>
        <v>0.16</v>
      </c>
      <c r="G160" s="41" t="s">
        <v>55</v>
      </c>
      <c r="H160" s="41"/>
      <c r="I160" s="41"/>
      <c r="J160" s="41">
        <f t="shared" si="36"/>
        <v>0</v>
      </c>
      <c r="K160" s="41">
        <f t="shared" si="36"/>
        <v>0</v>
      </c>
      <c r="L160" s="41">
        <f t="shared" si="37"/>
        <v>0</v>
      </c>
    </row>
    <row r="161" spans="1:244" s="81" customFormat="1" ht="28.5" x14ac:dyDescent="0.2">
      <c r="A161" s="100" t="s">
        <v>435</v>
      </c>
      <c r="B161" s="44" t="s">
        <v>436</v>
      </c>
      <c r="C161" s="41" t="s">
        <v>55</v>
      </c>
      <c r="D161" s="41">
        <f>1</f>
        <v>1</v>
      </c>
      <c r="E161" s="45">
        <f>1.06</f>
        <v>1.06</v>
      </c>
      <c r="F161" s="45">
        <f>D161*E161</f>
        <v>1.06</v>
      </c>
      <c r="G161" s="41" t="s">
        <v>55</v>
      </c>
      <c r="H161" s="41"/>
      <c r="I161" s="41"/>
      <c r="J161" s="41">
        <f t="shared" si="36"/>
        <v>0</v>
      </c>
      <c r="K161" s="41">
        <f t="shared" si="36"/>
        <v>0</v>
      </c>
      <c r="L161" s="41">
        <f>J161+K161</f>
        <v>0</v>
      </c>
    </row>
    <row r="162" spans="1:244" s="81" customFormat="1" ht="28.5" x14ac:dyDescent="0.2">
      <c r="A162" s="54"/>
      <c r="B162" s="44" t="s">
        <v>257</v>
      </c>
      <c r="C162" s="41" t="s">
        <v>55</v>
      </c>
      <c r="D162" s="41">
        <f>D161</f>
        <v>1</v>
      </c>
      <c r="E162" s="45">
        <v>0.25</v>
      </c>
      <c r="F162" s="45">
        <f>D162*E162</f>
        <v>0.25</v>
      </c>
      <c r="G162" s="41" t="s">
        <v>55</v>
      </c>
      <c r="H162" s="41"/>
      <c r="I162" s="41"/>
      <c r="J162" s="41">
        <f t="shared" si="36"/>
        <v>0</v>
      </c>
      <c r="K162" s="41">
        <f t="shared" si="36"/>
        <v>0</v>
      </c>
      <c r="L162" s="41">
        <f>J162+K162</f>
        <v>0</v>
      </c>
    </row>
    <row r="163" spans="1:244" s="43" customFormat="1" ht="25.5" x14ac:dyDescent="0.2">
      <c r="A163" s="87" t="s">
        <v>433</v>
      </c>
      <c r="B163" s="44" t="s">
        <v>434</v>
      </c>
      <c r="C163" s="41" t="s">
        <v>55</v>
      </c>
      <c r="D163" s="41">
        <f>1</f>
        <v>1</v>
      </c>
      <c r="E163" s="45">
        <v>0.68</v>
      </c>
      <c r="F163" s="45">
        <f t="shared" si="35"/>
        <v>0.68</v>
      </c>
      <c r="G163" s="41" t="s">
        <v>55</v>
      </c>
      <c r="H163" s="41"/>
      <c r="I163" s="41"/>
      <c r="J163" s="41">
        <f t="shared" si="36"/>
        <v>0</v>
      </c>
      <c r="K163" s="41">
        <f t="shared" si="36"/>
        <v>0</v>
      </c>
      <c r="L163" s="41">
        <f t="shared" si="37"/>
        <v>0</v>
      </c>
    </row>
    <row r="164" spans="1:244" s="43" customFormat="1" ht="25.5" x14ac:dyDescent="0.2">
      <c r="A164" s="87"/>
      <c r="B164" s="44" t="s">
        <v>249</v>
      </c>
      <c r="C164" s="41" t="s">
        <v>55</v>
      </c>
      <c r="D164" s="41">
        <f>D163</f>
        <v>1</v>
      </c>
      <c r="E164" s="45">
        <v>0.16</v>
      </c>
      <c r="F164" s="45">
        <f t="shared" si="35"/>
        <v>0.16</v>
      </c>
      <c r="G164" s="41" t="s">
        <v>55</v>
      </c>
      <c r="H164" s="41"/>
      <c r="I164" s="41"/>
      <c r="J164" s="41">
        <f t="shared" si="36"/>
        <v>0</v>
      </c>
      <c r="K164" s="41">
        <f t="shared" si="36"/>
        <v>0</v>
      </c>
      <c r="L164" s="41">
        <f t="shared" si="37"/>
        <v>0</v>
      </c>
    </row>
    <row r="165" spans="1:244" s="81" customFormat="1" ht="28.5" x14ac:dyDescent="0.2">
      <c r="A165" s="100" t="s">
        <v>255</v>
      </c>
      <c r="B165" s="44" t="s">
        <v>256</v>
      </c>
      <c r="C165" s="41" t="s">
        <v>55</v>
      </c>
      <c r="D165" s="41">
        <f>2+1</f>
        <v>3</v>
      </c>
      <c r="E165" s="45">
        <f>1.06</f>
        <v>1.06</v>
      </c>
      <c r="F165" s="45">
        <f>D165*E165</f>
        <v>3.18</v>
      </c>
      <c r="G165" s="41" t="s">
        <v>55</v>
      </c>
      <c r="H165" s="41"/>
      <c r="I165" s="41"/>
      <c r="J165" s="41">
        <f>$D165*H165</f>
        <v>0</v>
      </c>
      <c r="K165" s="41">
        <f>$D165*I165</f>
        <v>0</v>
      </c>
      <c r="L165" s="41">
        <f>J165+K165</f>
        <v>0</v>
      </c>
    </row>
    <row r="166" spans="1:244" s="81" customFormat="1" ht="28.5" x14ac:dyDescent="0.2">
      <c r="A166" s="54"/>
      <c r="B166" s="44" t="s">
        <v>257</v>
      </c>
      <c r="C166" s="41" t="s">
        <v>55</v>
      </c>
      <c r="D166" s="41">
        <f>D165</f>
        <v>3</v>
      </c>
      <c r="E166" s="45">
        <v>0.25</v>
      </c>
      <c r="F166" s="45">
        <f>D166*E166</f>
        <v>0.75</v>
      </c>
      <c r="G166" s="41" t="s">
        <v>55</v>
      </c>
      <c r="H166" s="41"/>
      <c r="I166" s="41"/>
      <c r="J166" s="41">
        <f>$D166*H166</f>
        <v>0</v>
      </c>
      <c r="K166" s="41">
        <f>$D166*I166</f>
        <v>0</v>
      </c>
      <c r="L166" s="41">
        <f>J166+K166</f>
        <v>0</v>
      </c>
    </row>
    <row r="167" spans="1:244" s="81" customFormat="1" ht="28.5" x14ac:dyDescent="0.2">
      <c r="A167" s="54" t="s">
        <v>260</v>
      </c>
      <c r="B167" s="44" t="s">
        <v>261</v>
      </c>
      <c r="C167" s="41" t="s">
        <v>55</v>
      </c>
      <c r="D167" s="42">
        <f>1</f>
        <v>1</v>
      </c>
      <c r="E167" s="45">
        <v>0.8</v>
      </c>
      <c r="F167" s="45">
        <f>D167*E167</f>
        <v>0.8</v>
      </c>
      <c r="G167" s="41" t="s">
        <v>55</v>
      </c>
      <c r="H167" s="41"/>
      <c r="I167" s="41"/>
      <c r="J167" s="41">
        <f t="shared" ref="J167:K167" si="38">$D167*H167</f>
        <v>0</v>
      </c>
      <c r="K167" s="41">
        <f t="shared" si="38"/>
        <v>0</v>
      </c>
      <c r="L167" s="41">
        <f>J167+K167</f>
        <v>0</v>
      </c>
    </row>
    <row r="168" spans="1:244" s="43" customFormat="1" x14ac:dyDescent="0.2">
      <c r="A168" s="16"/>
      <c r="B168" s="2"/>
      <c r="C168" s="3"/>
      <c r="D168" s="1"/>
      <c r="E168" s="1"/>
      <c r="F168" s="1"/>
      <c r="G168" s="1"/>
      <c r="H168" s="3"/>
      <c r="I168" s="3"/>
      <c r="J168" s="3"/>
      <c r="K168" s="3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</row>
    <row r="169" spans="1:244" s="43" customFormat="1" x14ac:dyDescent="0.2">
      <c r="A169" s="48"/>
      <c r="B169" s="49" t="s">
        <v>59</v>
      </c>
      <c r="C169" s="41"/>
      <c r="D169" s="1"/>
      <c r="E169" s="50"/>
      <c r="F169" s="50">
        <f>SUM(F149:F168)</f>
        <v>44.529999999999994</v>
      </c>
      <c r="G169" s="50"/>
      <c r="H169" s="50"/>
      <c r="I169" s="50"/>
      <c r="J169" s="50">
        <f>CEILING(SUM(J149:J168),100)</f>
        <v>0</v>
      </c>
      <c r="K169" s="50">
        <f>CEILING(SUM(K149:K168),100)</f>
        <v>0</v>
      </c>
      <c r="L169" s="50">
        <f>J169+K169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</row>
    <row r="170" spans="1:244" s="81" customFormat="1" x14ac:dyDescent="0.2">
      <c r="A170" s="18"/>
      <c r="B170" s="9"/>
      <c r="C170" s="12"/>
      <c r="D170" s="12"/>
      <c r="E170" s="12"/>
      <c r="F170" s="12"/>
      <c r="G170" s="12"/>
      <c r="H170" s="11"/>
      <c r="I170" s="11"/>
      <c r="J170" s="11"/>
      <c r="K170" s="11"/>
      <c r="L170" s="1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</row>
    <row r="171" spans="1:244" s="81" customFormat="1" x14ac:dyDescent="0.2">
      <c r="A171" s="95" t="s">
        <v>111</v>
      </c>
      <c r="B171" s="5" t="s">
        <v>165</v>
      </c>
      <c r="C171" s="12"/>
      <c r="D171" s="12"/>
      <c r="E171" s="12"/>
      <c r="F171" s="12"/>
      <c r="G171" s="12"/>
      <c r="H171" s="11"/>
      <c r="I171" s="11"/>
      <c r="J171" s="11"/>
      <c r="K171" s="11"/>
      <c r="L171" s="1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</row>
    <row r="172" spans="1:244" s="81" customFormat="1" x14ac:dyDescent="0.2">
      <c r="A172" s="18"/>
      <c r="B172" s="9"/>
      <c r="C172" s="12"/>
      <c r="D172" s="12"/>
      <c r="E172" s="12"/>
      <c r="F172" s="12"/>
      <c r="G172" s="12"/>
      <c r="H172" s="11"/>
      <c r="I172" s="11"/>
      <c r="J172" s="11"/>
      <c r="K172" s="11"/>
      <c r="L172" s="1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</row>
    <row r="173" spans="1:244" customFormat="1" ht="14.25" x14ac:dyDescent="0.2">
      <c r="A173" s="18"/>
      <c r="B173" s="13" t="s">
        <v>69</v>
      </c>
      <c r="C173" s="12"/>
      <c r="D173" s="24"/>
      <c r="E173" s="12"/>
      <c r="F173" s="12"/>
      <c r="G173" s="12"/>
      <c r="H173" s="11"/>
      <c r="I173" s="11"/>
      <c r="J173" s="11"/>
      <c r="K173" s="11"/>
      <c r="L173" s="1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</row>
    <row r="174" spans="1:244" ht="25.5" x14ac:dyDescent="0.2">
      <c r="A174" s="54"/>
      <c r="B174" s="40" t="s">
        <v>329</v>
      </c>
      <c r="C174" s="41" t="s">
        <v>70</v>
      </c>
      <c r="D174" s="46">
        <f>CEILING(1.01*(1.4+0.7),1)</f>
        <v>3</v>
      </c>
      <c r="E174" s="45">
        <v>0.49299999999999999</v>
      </c>
      <c r="F174" s="55">
        <f t="shared" ref="F174:F185" si="39">D174*E174</f>
        <v>1.4790000000000001</v>
      </c>
      <c r="G174" s="41" t="s">
        <v>71</v>
      </c>
      <c r="H174" s="41"/>
      <c r="I174" s="41"/>
      <c r="J174" s="41">
        <f t="shared" ref="J174:J185" si="40">$F174*H174</f>
        <v>0</v>
      </c>
      <c r="K174" s="41">
        <f t="shared" ref="K174:K185" si="41">$D174*I174</f>
        <v>0</v>
      </c>
      <c r="L174" s="41">
        <f t="shared" ref="L174:L185" si="42">J174+K174</f>
        <v>0</v>
      </c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43"/>
      <c r="GW174" s="43"/>
      <c r="GX174" s="43"/>
      <c r="GY174" s="43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43"/>
      <c r="HY174" s="43"/>
      <c r="HZ174" s="43"/>
      <c r="IA174" s="43"/>
      <c r="IB174" s="43"/>
      <c r="IC174" s="43"/>
      <c r="ID174" s="43"/>
      <c r="IE174" s="43"/>
      <c r="IF174" s="43"/>
      <c r="IG174" s="43"/>
      <c r="IH174" s="43"/>
      <c r="II174" s="43"/>
      <c r="IJ174" s="43"/>
    </row>
    <row r="175" spans="1:244" s="43" customFormat="1" ht="25.5" x14ac:dyDescent="0.2">
      <c r="A175" s="54"/>
      <c r="B175" s="44" t="s">
        <v>437</v>
      </c>
      <c r="C175" s="41" t="s">
        <v>70</v>
      </c>
      <c r="D175" s="46">
        <f>CEILING(1.01*(2*1+1),1)</f>
        <v>4</v>
      </c>
      <c r="E175" s="45">
        <v>0.59199999999999997</v>
      </c>
      <c r="F175" s="55">
        <f>D175*E175</f>
        <v>2.3679999999999999</v>
      </c>
      <c r="G175" s="41" t="s">
        <v>71</v>
      </c>
      <c r="H175" s="41"/>
      <c r="I175" s="41"/>
      <c r="J175" s="41">
        <f>$F175*H175</f>
        <v>0</v>
      </c>
      <c r="K175" s="41">
        <f>$D175*I175</f>
        <v>0</v>
      </c>
      <c r="L175" s="41">
        <f>J175+K175</f>
        <v>0</v>
      </c>
    </row>
    <row r="176" spans="1:244" s="84" customFormat="1" ht="25.5" x14ac:dyDescent="0.2">
      <c r="A176" s="54"/>
      <c r="B176" s="40" t="s">
        <v>330</v>
      </c>
      <c r="C176" s="41" t="s">
        <v>70</v>
      </c>
      <c r="D176" s="46">
        <f>CEILING(1.01*(0.5+1+0.9+0.275+0.4+0.25+1.5+2+1),1)</f>
        <v>8</v>
      </c>
      <c r="E176" s="45">
        <v>1.2</v>
      </c>
      <c r="F176" s="55">
        <f t="shared" si="39"/>
        <v>9.6</v>
      </c>
      <c r="G176" s="41" t="s">
        <v>71</v>
      </c>
      <c r="H176" s="41"/>
      <c r="I176" s="41"/>
      <c r="J176" s="41">
        <f t="shared" si="40"/>
        <v>0</v>
      </c>
      <c r="K176" s="41">
        <f t="shared" si="41"/>
        <v>0</v>
      </c>
      <c r="L176" s="41">
        <f t="shared" si="42"/>
        <v>0</v>
      </c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43"/>
      <c r="GW176" s="43"/>
      <c r="GX176" s="43"/>
      <c r="GY176" s="43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43"/>
      <c r="HY176" s="43"/>
      <c r="HZ176" s="43"/>
      <c r="IA176" s="43"/>
      <c r="IB176" s="43"/>
      <c r="IC176" s="43"/>
      <c r="ID176" s="43"/>
      <c r="IE176" s="43"/>
      <c r="IF176" s="43"/>
      <c r="IG176" s="43"/>
      <c r="IH176" s="43"/>
      <c r="II176" s="43"/>
      <c r="IJ176" s="43"/>
    </row>
    <row r="177" spans="1:244" s="81" customFormat="1" ht="25.5" x14ac:dyDescent="0.2">
      <c r="A177" s="54"/>
      <c r="B177" s="40" t="s">
        <v>331</v>
      </c>
      <c r="C177" s="41" t="s">
        <v>70</v>
      </c>
      <c r="D177" s="46">
        <f>CEILING(1.01*0.5,1)</f>
        <v>1</v>
      </c>
      <c r="E177" s="45">
        <v>1.56</v>
      </c>
      <c r="F177" s="55">
        <f t="shared" si="39"/>
        <v>1.56</v>
      </c>
      <c r="G177" s="41" t="s">
        <v>71</v>
      </c>
      <c r="H177" s="41"/>
      <c r="I177" s="41"/>
      <c r="J177" s="41">
        <f t="shared" si="40"/>
        <v>0</v>
      </c>
      <c r="K177" s="41">
        <f t="shared" si="41"/>
        <v>0</v>
      </c>
      <c r="L177" s="41">
        <f t="shared" si="42"/>
        <v>0</v>
      </c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  <c r="ID177" s="43"/>
      <c r="IE177" s="43"/>
      <c r="IF177" s="43"/>
      <c r="IG177" s="43"/>
      <c r="IH177" s="43"/>
      <c r="II177" s="43"/>
      <c r="IJ177" s="43"/>
    </row>
    <row r="178" spans="1:244" s="84" customFormat="1" ht="25.5" x14ac:dyDescent="0.2">
      <c r="A178" s="54"/>
      <c r="B178" s="40" t="s">
        <v>332</v>
      </c>
      <c r="C178" s="41" t="s">
        <v>70</v>
      </c>
      <c r="D178" s="46">
        <f>CEILING(1.01*2*(0.275+0.25+2.5+5+2.5),1)</f>
        <v>22</v>
      </c>
      <c r="E178" s="45">
        <v>1.99</v>
      </c>
      <c r="F178" s="55">
        <f t="shared" si="39"/>
        <v>43.78</v>
      </c>
      <c r="G178" s="41" t="s">
        <v>71</v>
      </c>
      <c r="H178" s="41"/>
      <c r="I178" s="41"/>
      <c r="J178" s="41">
        <f t="shared" si="40"/>
        <v>0</v>
      </c>
      <c r="K178" s="41">
        <f t="shared" si="41"/>
        <v>0</v>
      </c>
      <c r="L178" s="41">
        <f t="shared" si="42"/>
        <v>0</v>
      </c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43"/>
      <c r="GW178" s="43"/>
      <c r="GX178" s="43"/>
      <c r="GY178" s="43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43"/>
      <c r="HK178" s="43"/>
      <c r="HL178" s="43"/>
      <c r="HM178" s="43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43"/>
      <c r="HY178" s="43"/>
      <c r="HZ178" s="43"/>
      <c r="IA178" s="43"/>
      <c r="IB178" s="43"/>
      <c r="IC178" s="43"/>
      <c r="ID178" s="43"/>
      <c r="IE178" s="43"/>
      <c r="IF178" s="43"/>
      <c r="IG178" s="43"/>
      <c r="IH178" s="43"/>
      <c r="II178" s="43"/>
      <c r="IJ178" s="43"/>
    </row>
    <row r="179" spans="1:244" s="84" customFormat="1" ht="25.5" x14ac:dyDescent="0.2">
      <c r="A179" s="54"/>
      <c r="B179" s="40" t="s">
        <v>333</v>
      </c>
      <c r="C179" s="41" t="s">
        <v>70</v>
      </c>
      <c r="D179" s="46">
        <f>CEILING(1.01*(2+5),1)</f>
        <v>8</v>
      </c>
      <c r="E179" s="45">
        <v>2.5499999999999998</v>
      </c>
      <c r="F179" s="55">
        <f t="shared" si="39"/>
        <v>20.399999999999999</v>
      </c>
      <c r="G179" s="41" t="s">
        <v>71</v>
      </c>
      <c r="H179" s="41"/>
      <c r="I179" s="41"/>
      <c r="J179" s="41">
        <f t="shared" si="40"/>
        <v>0</v>
      </c>
      <c r="K179" s="41">
        <f t="shared" si="41"/>
        <v>0</v>
      </c>
      <c r="L179" s="41">
        <f t="shared" si="42"/>
        <v>0</v>
      </c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43"/>
      <c r="GW179" s="43"/>
      <c r="GX179" s="43"/>
      <c r="GY179" s="43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43"/>
      <c r="HK179" s="43"/>
      <c r="HL179" s="43"/>
      <c r="HM179" s="43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43"/>
      <c r="HY179" s="43"/>
      <c r="HZ179" s="43"/>
      <c r="IA179" s="43"/>
      <c r="IB179" s="43"/>
      <c r="IC179" s="43"/>
      <c r="ID179" s="43"/>
      <c r="IE179" s="43"/>
      <c r="IF179" s="43"/>
      <c r="IG179" s="43"/>
      <c r="IH179" s="43"/>
      <c r="II179" s="43"/>
      <c r="IJ179" s="43"/>
    </row>
    <row r="180" spans="1:244" s="84" customFormat="1" ht="25.5" x14ac:dyDescent="0.2">
      <c r="A180" s="54"/>
      <c r="B180" s="40" t="s">
        <v>334</v>
      </c>
      <c r="C180" s="41" t="s">
        <v>70</v>
      </c>
      <c r="D180" s="46">
        <f>CEILING(1.01*0.5,1)</f>
        <v>1</v>
      </c>
      <c r="E180" s="45">
        <v>2.93</v>
      </c>
      <c r="F180" s="55">
        <f t="shared" si="39"/>
        <v>2.93</v>
      </c>
      <c r="G180" s="41" t="s">
        <v>71</v>
      </c>
      <c r="H180" s="41"/>
      <c r="I180" s="41"/>
      <c r="J180" s="41">
        <f t="shared" si="40"/>
        <v>0</v>
      </c>
      <c r="K180" s="41">
        <f t="shared" si="41"/>
        <v>0</v>
      </c>
      <c r="L180" s="41">
        <f t="shared" si="42"/>
        <v>0</v>
      </c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43"/>
      <c r="GW180" s="43"/>
      <c r="GX180" s="43"/>
      <c r="GY180" s="43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43"/>
      <c r="HK180" s="43"/>
      <c r="HL180" s="43"/>
      <c r="HM180" s="43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43"/>
      <c r="HY180" s="43"/>
      <c r="HZ180" s="43"/>
      <c r="IA180" s="43"/>
      <c r="IB180" s="43"/>
      <c r="IC180" s="43"/>
      <c r="ID180" s="43"/>
      <c r="IE180" s="43"/>
      <c r="IF180" s="43"/>
      <c r="IG180" s="43"/>
      <c r="IH180" s="43"/>
      <c r="II180" s="43"/>
      <c r="IJ180" s="43"/>
    </row>
    <row r="181" spans="1:244" s="84" customFormat="1" ht="25.5" x14ac:dyDescent="0.2">
      <c r="A181" s="54"/>
      <c r="B181" s="40" t="s">
        <v>335</v>
      </c>
      <c r="C181" s="41" t="s">
        <v>70</v>
      </c>
      <c r="D181" s="46">
        <f>CEILING(1.01*(0.7+0.5+1.7+0.5+5.7+6.6+2.9+2.2+0.2+3.5+5.7+6.8),1)</f>
        <v>38</v>
      </c>
      <c r="E181" s="45">
        <v>4.1100000000000003</v>
      </c>
      <c r="F181" s="55">
        <f t="shared" si="39"/>
        <v>156.18</v>
      </c>
      <c r="G181" s="41" t="s">
        <v>71</v>
      </c>
      <c r="H181" s="41"/>
      <c r="I181" s="41"/>
      <c r="J181" s="41">
        <f t="shared" si="40"/>
        <v>0</v>
      </c>
      <c r="K181" s="41">
        <f t="shared" si="41"/>
        <v>0</v>
      </c>
      <c r="L181" s="41">
        <f t="shared" si="42"/>
        <v>0</v>
      </c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43"/>
      <c r="GW181" s="43"/>
      <c r="GX181" s="43"/>
      <c r="GY181" s="43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43"/>
      <c r="HK181" s="43"/>
      <c r="HL181" s="43"/>
      <c r="HM181" s="43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43"/>
      <c r="HY181" s="43"/>
      <c r="HZ181" s="43"/>
      <c r="IA181" s="43"/>
      <c r="IB181" s="43"/>
      <c r="IC181" s="43"/>
      <c r="ID181" s="43"/>
      <c r="IE181" s="43"/>
      <c r="IF181" s="43"/>
      <c r="IG181" s="43"/>
      <c r="IH181" s="43"/>
      <c r="II181" s="43"/>
      <c r="IJ181" s="43"/>
    </row>
    <row r="182" spans="1:244" s="84" customFormat="1" ht="25.5" x14ac:dyDescent="0.2">
      <c r="A182" s="54"/>
      <c r="B182" s="40" t="s">
        <v>336</v>
      </c>
      <c r="C182" s="41" t="s">
        <v>70</v>
      </c>
      <c r="D182" s="46">
        <f>CEILING(1.01*(3+0.9+3.5+1+0.5+0.95+5.9+2.2+0.9+2.9+2.2+2*0.5),1)</f>
        <v>26</v>
      </c>
      <c r="E182" s="45">
        <v>5.75</v>
      </c>
      <c r="F182" s="55">
        <f t="shared" si="39"/>
        <v>149.5</v>
      </c>
      <c r="G182" s="41" t="s">
        <v>71</v>
      </c>
      <c r="H182" s="41"/>
      <c r="I182" s="41"/>
      <c r="J182" s="41">
        <f t="shared" si="40"/>
        <v>0</v>
      </c>
      <c r="K182" s="41">
        <f t="shared" si="41"/>
        <v>0</v>
      </c>
      <c r="L182" s="41">
        <f t="shared" si="42"/>
        <v>0</v>
      </c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43"/>
      <c r="GW182" s="43"/>
      <c r="GX182" s="43"/>
      <c r="GY182" s="43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43"/>
      <c r="HK182" s="43"/>
      <c r="HL182" s="43"/>
      <c r="HM182" s="43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43"/>
      <c r="HY182" s="43"/>
      <c r="HZ182" s="43"/>
      <c r="IA182" s="43"/>
      <c r="IB182" s="43"/>
      <c r="IC182" s="43"/>
      <c r="ID182" s="43"/>
      <c r="IE182" s="43"/>
      <c r="IF182" s="43"/>
      <c r="IG182" s="43"/>
      <c r="IH182" s="43"/>
      <c r="II182" s="43"/>
      <c r="IJ182" s="43"/>
    </row>
    <row r="183" spans="1:244" s="84" customFormat="1" ht="25.5" x14ac:dyDescent="0.2">
      <c r="A183" s="54"/>
      <c r="B183" s="40" t="s">
        <v>337</v>
      </c>
      <c r="C183" s="41" t="s">
        <v>70</v>
      </c>
      <c r="D183" s="46">
        <f>CEILING(1.01*(5.1+2.1+7.2+2.4+0.6+0.8+3.3+0.75+0.95+2*0.25),1)</f>
        <v>24</v>
      </c>
      <c r="E183" s="45">
        <v>7.57</v>
      </c>
      <c r="F183" s="55">
        <f t="shared" si="39"/>
        <v>181.68</v>
      </c>
      <c r="G183" s="41" t="s">
        <v>71</v>
      </c>
      <c r="H183" s="41"/>
      <c r="I183" s="41"/>
      <c r="J183" s="41">
        <f t="shared" si="40"/>
        <v>0</v>
      </c>
      <c r="K183" s="41">
        <f t="shared" si="41"/>
        <v>0</v>
      </c>
      <c r="L183" s="41">
        <f t="shared" si="42"/>
        <v>0</v>
      </c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43"/>
      <c r="GW183" s="43"/>
      <c r="GX183" s="43"/>
      <c r="GY183" s="43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43"/>
      <c r="HK183" s="43"/>
      <c r="HL183" s="43"/>
      <c r="HM183" s="43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43"/>
      <c r="HY183" s="43"/>
      <c r="HZ183" s="43"/>
      <c r="IA183" s="43"/>
      <c r="IB183" s="43"/>
      <c r="IC183" s="43"/>
      <c r="ID183" s="43"/>
      <c r="IE183" s="43"/>
      <c r="IF183" s="43"/>
      <c r="IG183" s="43"/>
      <c r="IH183" s="43"/>
      <c r="II183" s="43"/>
      <c r="IJ183" s="43"/>
    </row>
    <row r="184" spans="1:244" s="43" customFormat="1" ht="25.5" x14ac:dyDescent="0.2">
      <c r="A184" s="54"/>
      <c r="B184" s="40" t="s">
        <v>349</v>
      </c>
      <c r="C184" s="41" t="s">
        <v>70</v>
      </c>
      <c r="D184" s="76">
        <f>CEILING(1.01*(0.5),1)</f>
        <v>1</v>
      </c>
      <c r="E184" s="45">
        <v>10.9</v>
      </c>
      <c r="F184" s="55">
        <f t="shared" si="39"/>
        <v>10.9</v>
      </c>
      <c r="G184" s="41" t="s">
        <v>71</v>
      </c>
      <c r="H184" s="41"/>
      <c r="I184" s="41"/>
      <c r="J184" s="41">
        <f t="shared" si="40"/>
        <v>0</v>
      </c>
      <c r="K184" s="41">
        <f t="shared" si="41"/>
        <v>0</v>
      </c>
      <c r="L184" s="41">
        <f t="shared" si="42"/>
        <v>0</v>
      </c>
    </row>
    <row r="185" spans="1:244" s="81" customFormat="1" ht="25.5" x14ac:dyDescent="0.2">
      <c r="A185" s="54"/>
      <c r="B185" s="40" t="s">
        <v>338</v>
      </c>
      <c r="C185" s="41" t="s">
        <v>70</v>
      </c>
      <c r="D185" s="46">
        <f>CEILING(1.01*(2.3+0.5+0.5),1)</f>
        <v>4</v>
      </c>
      <c r="E185" s="45">
        <v>15</v>
      </c>
      <c r="F185" s="55">
        <f t="shared" si="39"/>
        <v>60</v>
      </c>
      <c r="G185" s="41" t="s">
        <v>71</v>
      </c>
      <c r="H185" s="41"/>
      <c r="I185" s="41"/>
      <c r="J185" s="41">
        <f t="shared" si="40"/>
        <v>0</v>
      </c>
      <c r="K185" s="41">
        <f t="shared" si="41"/>
        <v>0</v>
      </c>
      <c r="L185" s="41">
        <f t="shared" si="42"/>
        <v>0</v>
      </c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43"/>
      <c r="GW185" s="43"/>
      <c r="GX185" s="43"/>
      <c r="GY185" s="43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43"/>
      <c r="HK185" s="43"/>
      <c r="HL185" s="43"/>
      <c r="HM185" s="43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43"/>
      <c r="HY185" s="43"/>
      <c r="HZ185" s="43"/>
      <c r="IA185" s="43"/>
      <c r="IB185" s="43"/>
      <c r="IC185" s="43"/>
      <c r="ID185" s="43"/>
      <c r="IE185" s="43"/>
      <c r="IF185" s="43"/>
      <c r="IG185" s="43"/>
      <c r="IH185" s="43"/>
      <c r="II185" s="43"/>
      <c r="IJ185" s="43"/>
    </row>
    <row r="186" spans="1:244" s="81" customFormat="1" ht="25.5" x14ac:dyDescent="0.2">
      <c r="A186" s="84"/>
      <c r="B186" s="85" t="s">
        <v>115</v>
      </c>
      <c r="C186" s="41" t="s">
        <v>55</v>
      </c>
      <c r="D186" s="41">
        <f>2+4+3+3+2</f>
        <v>14</v>
      </c>
      <c r="E186" s="45">
        <f>ROUND(PI()/2*29/1000*1.2,2)</f>
        <v>0.05</v>
      </c>
      <c r="F186" s="55">
        <f t="shared" ref="F186:F212" si="43">D186*E186</f>
        <v>0.70000000000000007</v>
      </c>
      <c r="G186" s="41" t="s">
        <v>55</v>
      </c>
      <c r="H186" s="75"/>
      <c r="I186" s="75"/>
      <c r="J186" s="41">
        <f t="shared" ref="J186:K187" si="44">$D186*H186</f>
        <v>0</v>
      </c>
      <c r="K186" s="41">
        <f t="shared" si="44"/>
        <v>0</v>
      </c>
      <c r="L186" s="41">
        <f t="shared" ref="L186:L212" si="45">J186+K186</f>
        <v>0</v>
      </c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</row>
    <row r="187" spans="1:244" s="81" customFormat="1" ht="25.5" x14ac:dyDescent="0.2">
      <c r="A187" s="84"/>
      <c r="B187" s="85" t="s">
        <v>116</v>
      </c>
      <c r="C187" s="41" t="s">
        <v>55</v>
      </c>
      <c r="D187" s="41">
        <f>8+5</f>
        <v>13</v>
      </c>
      <c r="E187" s="45">
        <f>ROUND(PI()/2*38/1000*1.99,2)</f>
        <v>0.12</v>
      </c>
      <c r="F187" s="55">
        <f t="shared" si="43"/>
        <v>1.56</v>
      </c>
      <c r="G187" s="41" t="s">
        <v>55</v>
      </c>
      <c r="H187" s="75"/>
      <c r="I187" s="75"/>
      <c r="J187" s="41">
        <f t="shared" si="44"/>
        <v>0</v>
      </c>
      <c r="K187" s="41">
        <f t="shared" si="44"/>
        <v>0</v>
      </c>
      <c r="L187" s="41">
        <f t="shared" si="45"/>
        <v>0</v>
      </c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4"/>
      <c r="GW187" s="84"/>
      <c r="GX187" s="84"/>
      <c r="GY187" s="84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4"/>
      <c r="HK187" s="84"/>
      <c r="HL187" s="84"/>
      <c r="HM187" s="84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4"/>
      <c r="HY187" s="84"/>
      <c r="HZ187" s="84"/>
      <c r="IA187" s="84"/>
      <c r="IB187" s="84"/>
      <c r="IC187" s="84"/>
      <c r="ID187" s="84"/>
      <c r="IE187" s="84"/>
      <c r="IF187" s="84"/>
      <c r="IG187" s="84"/>
      <c r="IH187" s="84"/>
      <c r="II187" s="84"/>
      <c r="IJ187" s="84"/>
    </row>
    <row r="188" spans="1:244" ht="25.5" x14ac:dyDescent="0.2">
      <c r="A188" s="84"/>
      <c r="B188" s="85" t="s">
        <v>117</v>
      </c>
      <c r="C188" s="41" t="s">
        <v>55</v>
      </c>
      <c r="D188" s="41">
        <f>3+8</f>
        <v>11</v>
      </c>
      <c r="E188" s="45">
        <f>ROUND(PI()/2*48/1000*2.55,2)</f>
        <v>0.19</v>
      </c>
      <c r="F188" s="55">
        <f t="shared" si="43"/>
        <v>2.09</v>
      </c>
      <c r="G188" s="41" t="s">
        <v>55</v>
      </c>
      <c r="H188" s="75"/>
      <c r="I188" s="75"/>
      <c r="J188" s="41">
        <f t="shared" ref="J188:K212" si="46">$D188*H188</f>
        <v>0</v>
      </c>
      <c r="K188" s="41">
        <f t="shared" ref="K188:K199" si="47">$D188*I188</f>
        <v>0</v>
      </c>
      <c r="L188" s="41">
        <f t="shared" si="45"/>
        <v>0</v>
      </c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  <c r="GT188" s="84"/>
      <c r="GU188" s="84"/>
      <c r="GV188" s="84"/>
      <c r="GW188" s="84"/>
      <c r="GX188" s="84"/>
      <c r="GY188" s="84"/>
      <c r="GZ188" s="84"/>
      <c r="HA188" s="84"/>
      <c r="HB188" s="84"/>
      <c r="HC188" s="84"/>
      <c r="HD188" s="84"/>
      <c r="HE188" s="84"/>
      <c r="HF188" s="84"/>
      <c r="HG188" s="84"/>
      <c r="HH188" s="84"/>
      <c r="HI188" s="84"/>
      <c r="HJ188" s="84"/>
      <c r="HK188" s="84"/>
      <c r="HL188" s="84"/>
      <c r="HM188" s="84"/>
      <c r="HN188" s="84"/>
      <c r="HO188" s="84"/>
      <c r="HP188" s="84"/>
      <c r="HQ188" s="84"/>
      <c r="HR188" s="84"/>
      <c r="HS188" s="84"/>
      <c r="HT188" s="84"/>
      <c r="HU188" s="84"/>
      <c r="HV188" s="84"/>
      <c r="HW188" s="84"/>
      <c r="HX188" s="84"/>
      <c r="HY188" s="84"/>
      <c r="HZ188" s="84"/>
      <c r="IA188" s="84"/>
      <c r="IB188" s="84"/>
      <c r="IC188" s="84"/>
      <c r="ID188" s="84"/>
      <c r="IE188" s="84"/>
      <c r="IF188" s="84"/>
      <c r="IG188" s="84"/>
      <c r="IH188" s="84"/>
      <c r="II188" s="84"/>
      <c r="IJ188" s="84"/>
    </row>
    <row r="189" spans="1:244" ht="25.5" x14ac:dyDescent="0.2">
      <c r="A189" s="84"/>
      <c r="B189" s="85" t="s">
        <v>118</v>
      </c>
      <c r="C189" s="41" t="s">
        <v>55</v>
      </c>
      <c r="D189" s="41">
        <f>2+3+8+9</f>
        <v>22</v>
      </c>
      <c r="E189" s="45">
        <f>ROUND(PI()/2*76/1000*4.11,2)</f>
        <v>0.49</v>
      </c>
      <c r="F189" s="55">
        <f t="shared" si="43"/>
        <v>10.78</v>
      </c>
      <c r="G189" s="41" t="s">
        <v>55</v>
      </c>
      <c r="H189" s="75"/>
      <c r="I189" s="75"/>
      <c r="J189" s="41">
        <f t="shared" si="46"/>
        <v>0</v>
      </c>
      <c r="K189" s="41">
        <f t="shared" si="47"/>
        <v>0</v>
      </c>
      <c r="L189" s="41">
        <f t="shared" si="45"/>
        <v>0</v>
      </c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  <c r="GT189" s="84"/>
      <c r="GU189" s="84"/>
      <c r="GV189" s="84"/>
      <c r="GW189" s="84"/>
      <c r="GX189" s="84"/>
      <c r="GY189" s="84"/>
      <c r="GZ189" s="84"/>
      <c r="HA189" s="84"/>
      <c r="HB189" s="84"/>
      <c r="HC189" s="84"/>
      <c r="HD189" s="84"/>
      <c r="HE189" s="84"/>
      <c r="HF189" s="84"/>
      <c r="HG189" s="84"/>
      <c r="HH189" s="84"/>
      <c r="HI189" s="84"/>
      <c r="HJ189" s="84"/>
      <c r="HK189" s="84"/>
      <c r="HL189" s="84"/>
      <c r="HM189" s="84"/>
      <c r="HN189" s="84"/>
      <c r="HO189" s="84"/>
      <c r="HP189" s="84"/>
      <c r="HQ189" s="84"/>
      <c r="HR189" s="84"/>
      <c r="HS189" s="84"/>
      <c r="HT189" s="84"/>
      <c r="HU189" s="84"/>
      <c r="HV189" s="84"/>
      <c r="HW189" s="84"/>
      <c r="HX189" s="84"/>
      <c r="HY189" s="84"/>
      <c r="HZ189" s="84"/>
      <c r="IA189" s="84"/>
      <c r="IB189" s="84"/>
      <c r="IC189" s="84"/>
      <c r="ID189" s="84"/>
      <c r="IE189" s="84"/>
      <c r="IF189" s="84"/>
      <c r="IG189" s="84"/>
      <c r="IH189" s="84"/>
      <c r="II189" s="84"/>
      <c r="IJ189" s="84"/>
    </row>
    <row r="190" spans="1:244" s="84" customFormat="1" ht="25.5" x14ac:dyDescent="0.2">
      <c r="B190" s="85" t="s">
        <v>119</v>
      </c>
      <c r="C190" s="41" t="s">
        <v>55</v>
      </c>
      <c r="D190" s="41">
        <f>3+3+5+2+1+5+5</f>
        <v>24</v>
      </c>
      <c r="E190" s="45">
        <f>ROUND(PI()/2*95/1000*5.75,2)</f>
        <v>0.86</v>
      </c>
      <c r="F190" s="55">
        <f t="shared" si="43"/>
        <v>20.64</v>
      </c>
      <c r="G190" s="41" t="s">
        <v>55</v>
      </c>
      <c r="H190" s="75"/>
      <c r="I190" s="75"/>
      <c r="J190" s="41">
        <f t="shared" si="46"/>
        <v>0</v>
      </c>
      <c r="K190" s="41">
        <f t="shared" si="47"/>
        <v>0</v>
      </c>
      <c r="L190" s="41">
        <f t="shared" si="45"/>
        <v>0</v>
      </c>
    </row>
    <row r="191" spans="1:244" s="81" customFormat="1" ht="25.5" x14ac:dyDescent="0.2">
      <c r="A191" s="84"/>
      <c r="B191" s="85" t="s">
        <v>157</v>
      </c>
      <c r="C191" s="41" t="s">
        <v>55</v>
      </c>
      <c r="D191" s="41">
        <f>2+3+9</f>
        <v>14</v>
      </c>
      <c r="E191" s="45">
        <f>ROUND(PI()/2*114/1000*7.57,2)</f>
        <v>1.36</v>
      </c>
      <c r="F191" s="41">
        <f t="shared" si="43"/>
        <v>19.040000000000003</v>
      </c>
      <c r="G191" s="41" t="s">
        <v>55</v>
      </c>
      <c r="H191" s="75"/>
      <c r="I191" s="75"/>
      <c r="J191" s="41">
        <f t="shared" si="46"/>
        <v>0</v>
      </c>
      <c r="K191" s="41">
        <f t="shared" si="47"/>
        <v>0</v>
      </c>
      <c r="L191" s="41">
        <f t="shared" si="45"/>
        <v>0</v>
      </c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  <c r="GT191" s="84"/>
      <c r="GU191" s="84"/>
      <c r="GV191" s="84"/>
      <c r="GW191" s="84"/>
      <c r="GX191" s="84"/>
      <c r="GY191" s="84"/>
      <c r="GZ191" s="84"/>
      <c r="HA191" s="84"/>
      <c r="HB191" s="84"/>
      <c r="HC191" s="84"/>
      <c r="HD191" s="84"/>
      <c r="HE191" s="84"/>
      <c r="HF191" s="84"/>
      <c r="HG191" s="84"/>
      <c r="HH191" s="84"/>
      <c r="HI191" s="84"/>
      <c r="HJ191" s="84"/>
      <c r="HK191" s="84"/>
      <c r="HL191" s="84"/>
      <c r="HM191" s="84"/>
      <c r="HN191" s="84"/>
      <c r="HO191" s="84"/>
      <c r="HP191" s="84"/>
      <c r="HQ191" s="84"/>
      <c r="HR191" s="84"/>
      <c r="HS191" s="84"/>
      <c r="HT191" s="84"/>
      <c r="HU191" s="84"/>
      <c r="HV191" s="84"/>
      <c r="HW191" s="84"/>
      <c r="HX191" s="84"/>
      <c r="HY191" s="84"/>
      <c r="HZ191" s="84"/>
      <c r="IA191" s="84"/>
      <c r="IB191" s="84"/>
      <c r="IC191" s="84"/>
      <c r="ID191" s="84"/>
      <c r="IE191" s="84"/>
      <c r="IF191" s="84"/>
      <c r="IG191" s="84"/>
      <c r="IH191" s="84"/>
      <c r="II191" s="84"/>
      <c r="IJ191" s="84"/>
    </row>
    <row r="192" spans="1:244" customFormat="1" ht="25.5" x14ac:dyDescent="0.2">
      <c r="B192" s="110" t="s">
        <v>441</v>
      </c>
      <c r="C192" s="41" t="s">
        <v>55</v>
      </c>
      <c r="D192" s="41">
        <f>1</f>
        <v>1</v>
      </c>
      <c r="E192" s="45">
        <f>ROUND(PI()/2*152/1000*10.9,2)</f>
        <v>2.6</v>
      </c>
      <c r="F192" s="41">
        <f t="shared" si="43"/>
        <v>2.6</v>
      </c>
      <c r="G192" s="41" t="s">
        <v>55</v>
      </c>
      <c r="H192" s="75"/>
      <c r="I192" s="75"/>
      <c r="J192" s="41">
        <f t="shared" si="46"/>
        <v>0</v>
      </c>
      <c r="K192" s="41">
        <f t="shared" si="47"/>
        <v>0</v>
      </c>
      <c r="L192" s="41">
        <f t="shared" si="45"/>
        <v>0</v>
      </c>
    </row>
    <row r="193" spans="1:244" ht="25.5" x14ac:dyDescent="0.2">
      <c r="A193" s="84"/>
      <c r="B193" s="85" t="s">
        <v>120</v>
      </c>
      <c r="C193" s="41" t="s">
        <v>55</v>
      </c>
      <c r="D193" s="41">
        <f>2</f>
        <v>2</v>
      </c>
      <c r="E193" s="45">
        <f>ROUND(PI()/2*190/1000*15,2)</f>
        <v>4.4800000000000004</v>
      </c>
      <c r="F193" s="41">
        <f t="shared" si="43"/>
        <v>8.9600000000000009</v>
      </c>
      <c r="G193" s="41" t="s">
        <v>55</v>
      </c>
      <c r="H193" s="75"/>
      <c r="I193" s="75"/>
      <c r="J193" s="41">
        <f t="shared" si="46"/>
        <v>0</v>
      </c>
      <c r="K193" s="41">
        <f t="shared" si="47"/>
        <v>0</v>
      </c>
      <c r="L193" s="41">
        <f t="shared" si="45"/>
        <v>0</v>
      </c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  <c r="GT193" s="84"/>
      <c r="GU193" s="84"/>
      <c r="GV193" s="84"/>
      <c r="GW193" s="84"/>
      <c r="GX193" s="84"/>
      <c r="GY193" s="84"/>
      <c r="GZ193" s="84"/>
      <c r="HA193" s="84"/>
      <c r="HB193" s="84"/>
      <c r="HC193" s="84"/>
      <c r="HD193" s="84"/>
      <c r="HE193" s="84"/>
      <c r="HF193" s="84"/>
      <c r="HG193" s="84"/>
      <c r="HH193" s="84"/>
      <c r="HI193" s="84"/>
      <c r="HJ193" s="84"/>
      <c r="HK193" s="84"/>
      <c r="HL193" s="84"/>
      <c r="HM193" s="84"/>
      <c r="HN193" s="84"/>
      <c r="HO193" s="84"/>
      <c r="HP193" s="84"/>
      <c r="HQ193" s="84"/>
      <c r="HR193" s="84"/>
      <c r="HS193" s="84"/>
      <c r="HT193" s="84"/>
      <c r="HU193" s="84"/>
      <c r="HV193" s="84"/>
      <c r="HW193" s="84"/>
      <c r="HX193" s="84"/>
      <c r="HY193" s="84"/>
      <c r="HZ193" s="84"/>
      <c r="IA193" s="84"/>
      <c r="IB193" s="84"/>
      <c r="IC193" s="84"/>
      <c r="ID193" s="84"/>
      <c r="IE193" s="84"/>
      <c r="IF193" s="84"/>
      <c r="IG193" s="84"/>
      <c r="IH193" s="84"/>
      <c r="II193" s="84"/>
      <c r="IJ193" s="84"/>
    </row>
    <row r="194" spans="1:244" s="81" customFormat="1" ht="25.5" x14ac:dyDescent="0.2">
      <c r="A194" s="54"/>
      <c r="B194" s="44" t="s">
        <v>339</v>
      </c>
      <c r="C194" s="41" t="s">
        <v>55</v>
      </c>
      <c r="D194" s="41">
        <f>1+1</f>
        <v>2</v>
      </c>
      <c r="E194" s="45">
        <f>ROUND(38*3/1000*1.99,2)</f>
        <v>0.23</v>
      </c>
      <c r="F194" s="55">
        <f t="shared" si="43"/>
        <v>0.46</v>
      </c>
      <c r="G194" s="41" t="s">
        <v>55</v>
      </c>
      <c r="H194" s="41"/>
      <c r="I194" s="41"/>
      <c r="J194" s="41">
        <f t="shared" si="46"/>
        <v>0</v>
      </c>
      <c r="K194" s="41">
        <f t="shared" si="47"/>
        <v>0</v>
      </c>
      <c r="L194" s="41">
        <f t="shared" si="45"/>
        <v>0</v>
      </c>
    </row>
    <row r="195" spans="1:244" s="81" customFormat="1" ht="25.5" x14ac:dyDescent="0.2">
      <c r="A195" s="54"/>
      <c r="B195" s="44" t="s">
        <v>340</v>
      </c>
      <c r="C195" s="41" t="s">
        <v>55</v>
      </c>
      <c r="D195" s="41">
        <f>1</f>
        <v>1</v>
      </c>
      <c r="E195" s="45">
        <f>ROUND(48*3/1000*2.55,2)</f>
        <v>0.37</v>
      </c>
      <c r="F195" s="55">
        <f t="shared" si="43"/>
        <v>0.37</v>
      </c>
      <c r="G195" s="41" t="s">
        <v>55</v>
      </c>
      <c r="H195" s="41"/>
      <c r="I195" s="41"/>
      <c r="J195" s="41">
        <f t="shared" si="46"/>
        <v>0</v>
      </c>
      <c r="K195" s="41">
        <f t="shared" si="47"/>
        <v>0</v>
      </c>
      <c r="L195" s="41">
        <f t="shared" si="45"/>
        <v>0</v>
      </c>
    </row>
    <row r="196" spans="1:244" s="81" customFormat="1" ht="25.5" x14ac:dyDescent="0.2">
      <c r="A196" s="54"/>
      <c r="B196" s="44" t="s">
        <v>341</v>
      </c>
      <c r="C196" s="41" t="s">
        <v>55</v>
      </c>
      <c r="D196" s="41">
        <f>1</f>
        <v>1</v>
      </c>
      <c r="E196" s="45">
        <f>ROUND(64*3/1000*4.11,2)</f>
        <v>0.79</v>
      </c>
      <c r="F196" s="55">
        <f t="shared" si="43"/>
        <v>0.79</v>
      </c>
      <c r="G196" s="41" t="s">
        <v>55</v>
      </c>
      <c r="H196" s="41"/>
      <c r="I196" s="41"/>
      <c r="J196" s="41">
        <f t="shared" si="46"/>
        <v>0</v>
      </c>
      <c r="K196" s="41">
        <f t="shared" si="47"/>
        <v>0</v>
      </c>
      <c r="L196" s="41">
        <f t="shared" si="45"/>
        <v>0</v>
      </c>
    </row>
    <row r="197" spans="1:244" s="81" customFormat="1" ht="25.5" x14ac:dyDescent="0.2">
      <c r="A197" s="54"/>
      <c r="B197" s="44" t="s">
        <v>342</v>
      </c>
      <c r="C197" s="41" t="s">
        <v>55</v>
      </c>
      <c r="D197" s="41">
        <f>1</f>
        <v>1</v>
      </c>
      <c r="E197" s="45">
        <f>ROUND(86*3/1000*7.57,2)</f>
        <v>1.95</v>
      </c>
      <c r="F197" s="55">
        <f>D197*E197</f>
        <v>1.95</v>
      </c>
      <c r="G197" s="41" t="s">
        <v>55</v>
      </c>
      <c r="H197" s="41"/>
      <c r="I197" s="41"/>
      <c r="J197" s="41">
        <f>$D197*H197</f>
        <v>0</v>
      </c>
      <c r="K197" s="41">
        <f t="shared" si="47"/>
        <v>0</v>
      </c>
      <c r="L197" s="41">
        <f>J197+K197</f>
        <v>0</v>
      </c>
    </row>
    <row r="198" spans="1:244" s="81" customFormat="1" ht="25.5" x14ac:dyDescent="0.2">
      <c r="A198" s="54"/>
      <c r="B198" s="44" t="s">
        <v>343</v>
      </c>
      <c r="C198" s="41" t="s">
        <v>55</v>
      </c>
      <c r="D198" s="41">
        <f>1+3</f>
        <v>4</v>
      </c>
      <c r="E198" s="45">
        <f>ROUND(86*3/1000*7.57,2)</f>
        <v>1.95</v>
      </c>
      <c r="F198" s="55">
        <f t="shared" si="43"/>
        <v>7.8</v>
      </c>
      <c r="G198" s="41" t="s">
        <v>55</v>
      </c>
      <c r="H198" s="41"/>
      <c r="I198" s="41"/>
      <c r="J198" s="41">
        <f t="shared" si="46"/>
        <v>0</v>
      </c>
      <c r="K198" s="41">
        <f t="shared" si="47"/>
        <v>0</v>
      </c>
      <c r="L198" s="41">
        <f t="shared" si="45"/>
        <v>0</v>
      </c>
    </row>
    <row r="199" spans="1:244" s="43" customFormat="1" ht="25.5" x14ac:dyDescent="0.2">
      <c r="A199" s="54"/>
      <c r="B199" s="44" t="s">
        <v>442</v>
      </c>
      <c r="C199" s="41" t="s">
        <v>55</v>
      </c>
      <c r="D199" s="41">
        <f>1</f>
        <v>1</v>
      </c>
      <c r="E199" s="45">
        <f>ROUND(124*3/1000*15,2)</f>
        <v>5.58</v>
      </c>
      <c r="F199" s="55">
        <f t="shared" si="43"/>
        <v>5.58</v>
      </c>
      <c r="G199" s="41" t="s">
        <v>55</v>
      </c>
      <c r="H199" s="41"/>
      <c r="I199" s="41"/>
      <c r="J199" s="41">
        <f t="shared" si="46"/>
        <v>0</v>
      </c>
      <c r="K199" s="41">
        <f t="shared" si="47"/>
        <v>0</v>
      </c>
      <c r="L199" s="41">
        <f t="shared" si="45"/>
        <v>0</v>
      </c>
    </row>
    <row r="200" spans="1:244" s="43" customFormat="1" ht="38.25" x14ac:dyDescent="0.2">
      <c r="A200" s="54"/>
      <c r="B200" s="44" t="s">
        <v>443</v>
      </c>
      <c r="C200" s="41" t="s">
        <v>55</v>
      </c>
      <c r="D200" s="41">
        <f>1</f>
        <v>1</v>
      </c>
      <c r="E200" s="45">
        <f>ROUND(38/1000*1.56,2)</f>
        <v>0.06</v>
      </c>
      <c r="F200" s="55">
        <f t="shared" si="43"/>
        <v>0.06</v>
      </c>
      <c r="G200" s="41" t="s">
        <v>55</v>
      </c>
      <c r="H200" s="41"/>
      <c r="I200" s="41"/>
      <c r="J200" s="41">
        <f t="shared" si="46"/>
        <v>0</v>
      </c>
      <c r="K200" s="41">
        <f t="shared" si="46"/>
        <v>0</v>
      </c>
      <c r="L200" s="41">
        <f t="shared" si="45"/>
        <v>0</v>
      </c>
    </row>
    <row r="201" spans="1:244" s="43" customFormat="1" ht="38.25" x14ac:dyDescent="0.2">
      <c r="A201" s="54"/>
      <c r="B201" s="44" t="s">
        <v>439</v>
      </c>
      <c r="C201" s="41" t="s">
        <v>55</v>
      </c>
      <c r="D201" s="41">
        <f>1</f>
        <v>1</v>
      </c>
      <c r="E201" s="45">
        <f>ROUND(76/1000*4.1,2)</f>
        <v>0.31</v>
      </c>
      <c r="F201" s="55">
        <f t="shared" si="43"/>
        <v>0.31</v>
      </c>
      <c r="G201" s="41" t="s">
        <v>55</v>
      </c>
      <c r="H201" s="41"/>
      <c r="I201" s="41"/>
      <c r="J201" s="41">
        <f t="shared" si="46"/>
        <v>0</v>
      </c>
      <c r="K201" s="41">
        <f>$D201*I201</f>
        <v>0</v>
      </c>
      <c r="L201" s="41">
        <f t="shared" si="45"/>
        <v>0</v>
      </c>
    </row>
    <row r="202" spans="1:244" s="43" customFormat="1" ht="38.25" x14ac:dyDescent="0.2">
      <c r="A202" s="54"/>
      <c r="B202" s="44" t="s">
        <v>121</v>
      </c>
      <c r="C202" s="41" t="s">
        <v>55</v>
      </c>
      <c r="D202" s="41">
        <f>1+1+1</f>
        <v>3</v>
      </c>
      <c r="E202" s="45">
        <f>ROUND(89/1000*5.75,2)</f>
        <v>0.51</v>
      </c>
      <c r="F202" s="55">
        <f t="shared" si="43"/>
        <v>1.53</v>
      </c>
      <c r="G202" s="41" t="s">
        <v>55</v>
      </c>
      <c r="H202" s="41"/>
      <c r="I202" s="41"/>
      <c r="J202" s="41">
        <f t="shared" si="46"/>
        <v>0</v>
      </c>
      <c r="K202" s="41">
        <f t="shared" ref="K202:K215" si="48">$D202*I202</f>
        <v>0</v>
      </c>
      <c r="L202" s="41">
        <f t="shared" si="45"/>
        <v>0</v>
      </c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  <c r="EK202" s="81"/>
      <c r="EL202" s="81"/>
      <c r="EM202" s="81"/>
      <c r="EN202" s="81"/>
      <c r="EO202" s="81"/>
      <c r="EP202" s="81"/>
      <c r="EQ202" s="81"/>
      <c r="ER202" s="81"/>
      <c r="ES202" s="81"/>
      <c r="ET202" s="81"/>
      <c r="EU202" s="81"/>
      <c r="EV202" s="81"/>
      <c r="EW202" s="81"/>
      <c r="EX202" s="81"/>
      <c r="EY202" s="81"/>
      <c r="EZ202" s="81"/>
      <c r="FA202" s="81"/>
      <c r="FB202" s="81"/>
      <c r="FC202" s="81"/>
      <c r="FD202" s="81"/>
      <c r="FE202" s="81"/>
      <c r="FF202" s="81"/>
      <c r="FG202" s="81"/>
      <c r="FH202" s="81"/>
      <c r="FI202" s="81"/>
      <c r="FJ202" s="81"/>
      <c r="FK202" s="81"/>
      <c r="FL202" s="81"/>
      <c r="FM202" s="81"/>
      <c r="FN202" s="81"/>
      <c r="FO202" s="81"/>
      <c r="FP202" s="81"/>
      <c r="FQ202" s="81"/>
      <c r="FR202" s="81"/>
      <c r="FS202" s="81"/>
      <c r="FT202" s="81"/>
      <c r="FU202" s="81"/>
      <c r="FV202" s="81"/>
      <c r="FW202" s="81"/>
      <c r="FX202" s="81"/>
      <c r="FY202" s="81"/>
      <c r="FZ202" s="81"/>
      <c r="GA202" s="81"/>
      <c r="GB202" s="81"/>
      <c r="GC202" s="81"/>
      <c r="GD202" s="81"/>
      <c r="GE202" s="81"/>
      <c r="GF202" s="81"/>
      <c r="GG202" s="81"/>
      <c r="GH202" s="81"/>
      <c r="GI202" s="81"/>
      <c r="GJ202" s="81"/>
      <c r="GK202" s="81"/>
      <c r="GL202" s="81"/>
      <c r="GM202" s="81"/>
      <c r="GN202" s="81"/>
      <c r="GO202" s="81"/>
      <c r="GP202" s="81"/>
      <c r="GQ202" s="81"/>
      <c r="GR202" s="81"/>
      <c r="GS202" s="81"/>
      <c r="GT202" s="81"/>
      <c r="GU202" s="81"/>
      <c r="GV202" s="81"/>
      <c r="GW202" s="81"/>
      <c r="GX202" s="81"/>
      <c r="GY202" s="81"/>
      <c r="GZ202" s="81"/>
      <c r="HA202" s="81"/>
      <c r="HB202" s="81"/>
      <c r="HC202" s="81"/>
      <c r="HD202" s="81"/>
      <c r="HE202" s="81"/>
      <c r="HF202" s="81"/>
      <c r="HG202" s="81"/>
      <c r="HH202" s="81"/>
      <c r="HI202" s="81"/>
      <c r="HJ202" s="81"/>
      <c r="HK202" s="81"/>
      <c r="HL202" s="81"/>
      <c r="HM202" s="81"/>
      <c r="HN202" s="81"/>
      <c r="HO202" s="81"/>
      <c r="HP202" s="81"/>
      <c r="HQ202" s="81"/>
      <c r="HR202" s="81"/>
      <c r="HS202" s="81"/>
      <c r="HT202" s="81"/>
      <c r="HU202" s="81"/>
      <c r="HV202" s="81"/>
      <c r="HW202" s="81"/>
      <c r="HX202" s="81"/>
      <c r="HY202" s="81"/>
      <c r="HZ202" s="81"/>
      <c r="IA202" s="81"/>
      <c r="IB202" s="81"/>
      <c r="IC202" s="81"/>
      <c r="ID202" s="81"/>
      <c r="IE202" s="81"/>
      <c r="IF202" s="81"/>
      <c r="IG202" s="81"/>
      <c r="IH202" s="81"/>
      <c r="II202" s="81"/>
      <c r="IJ202" s="81"/>
    </row>
    <row r="203" spans="1:244" s="43" customFormat="1" ht="38.25" x14ac:dyDescent="0.2">
      <c r="A203" s="54"/>
      <c r="B203" s="44" t="s">
        <v>159</v>
      </c>
      <c r="C203" s="41" t="s">
        <v>55</v>
      </c>
      <c r="D203" s="41">
        <f>2</f>
        <v>2</v>
      </c>
      <c r="E203" s="45">
        <f>ROUND(89/1000*7.57,2)</f>
        <v>0.67</v>
      </c>
      <c r="F203" s="55">
        <f t="shared" si="43"/>
        <v>1.34</v>
      </c>
      <c r="G203" s="41" t="s">
        <v>55</v>
      </c>
      <c r="H203" s="41"/>
      <c r="I203" s="41"/>
      <c r="J203" s="41">
        <f t="shared" si="46"/>
        <v>0</v>
      </c>
      <c r="K203" s="41">
        <f t="shared" si="48"/>
        <v>0</v>
      </c>
      <c r="L203" s="41">
        <f t="shared" si="45"/>
        <v>0</v>
      </c>
    </row>
    <row r="204" spans="1:244" s="43" customFormat="1" ht="38.25" x14ac:dyDescent="0.2">
      <c r="A204" s="54"/>
      <c r="B204" s="44" t="s">
        <v>156</v>
      </c>
      <c r="C204" s="41" t="s">
        <v>55</v>
      </c>
      <c r="D204" s="41">
        <f>1+1+1</f>
        <v>3</v>
      </c>
      <c r="E204" s="45">
        <f>ROUND(89/1000*7.57,2)</f>
        <v>0.67</v>
      </c>
      <c r="F204" s="55">
        <f t="shared" si="43"/>
        <v>2.0100000000000002</v>
      </c>
      <c r="G204" s="41" t="s">
        <v>55</v>
      </c>
      <c r="H204" s="41"/>
      <c r="I204" s="41"/>
      <c r="J204" s="41">
        <f t="shared" si="46"/>
        <v>0</v>
      </c>
      <c r="K204" s="41">
        <f t="shared" si="48"/>
        <v>0</v>
      </c>
      <c r="L204" s="41">
        <f t="shared" si="45"/>
        <v>0</v>
      </c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  <c r="EK204" s="81"/>
      <c r="EL204" s="81"/>
      <c r="EM204" s="81"/>
      <c r="EN204" s="81"/>
      <c r="EO204" s="81"/>
      <c r="EP204" s="81"/>
      <c r="EQ204" s="81"/>
      <c r="ER204" s="81"/>
      <c r="ES204" s="81"/>
      <c r="ET204" s="81"/>
      <c r="EU204" s="81"/>
      <c r="EV204" s="81"/>
      <c r="EW204" s="81"/>
      <c r="EX204" s="81"/>
      <c r="EY204" s="81"/>
      <c r="EZ204" s="81"/>
      <c r="FA204" s="81"/>
      <c r="FB204" s="81"/>
      <c r="FC204" s="81"/>
      <c r="FD204" s="81"/>
      <c r="FE204" s="81"/>
      <c r="FF204" s="81"/>
      <c r="FG204" s="81"/>
      <c r="FH204" s="81"/>
      <c r="FI204" s="81"/>
      <c r="FJ204" s="81"/>
      <c r="FK204" s="81"/>
      <c r="FL204" s="81"/>
      <c r="FM204" s="81"/>
      <c r="FN204" s="81"/>
      <c r="FO204" s="81"/>
      <c r="FP204" s="81"/>
      <c r="FQ204" s="81"/>
      <c r="FR204" s="81"/>
      <c r="FS204" s="81"/>
      <c r="FT204" s="81"/>
      <c r="FU204" s="81"/>
      <c r="FV204" s="81"/>
      <c r="FW204" s="81"/>
      <c r="FX204" s="81"/>
      <c r="FY204" s="81"/>
      <c r="FZ204" s="81"/>
      <c r="GA204" s="81"/>
      <c r="GB204" s="81"/>
      <c r="GC204" s="81"/>
      <c r="GD204" s="81"/>
      <c r="GE204" s="81"/>
      <c r="GF204" s="81"/>
      <c r="GG204" s="81"/>
      <c r="GH204" s="81"/>
      <c r="GI204" s="81"/>
      <c r="GJ204" s="81"/>
      <c r="GK204" s="81"/>
      <c r="GL204" s="81"/>
      <c r="GM204" s="81"/>
      <c r="GN204" s="81"/>
      <c r="GO204" s="81"/>
      <c r="GP204" s="81"/>
      <c r="GQ204" s="81"/>
      <c r="GR204" s="81"/>
      <c r="GS204" s="81"/>
      <c r="GT204" s="81"/>
      <c r="GU204" s="81"/>
      <c r="GV204" s="81"/>
      <c r="GW204" s="81"/>
      <c r="GX204" s="81"/>
      <c r="GY204" s="81"/>
      <c r="GZ204" s="81"/>
      <c r="HA204" s="81"/>
      <c r="HB204" s="81"/>
      <c r="HC204" s="81"/>
      <c r="HD204" s="81"/>
      <c r="HE204" s="81"/>
      <c r="HF204" s="81"/>
      <c r="HG204" s="81"/>
      <c r="HH204" s="81"/>
      <c r="HI204" s="81"/>
      <c r="HJ204" s="81"/>
      <c r="HK204" s="81"/>
      <c r="HL204" s="81"/>
      <c r="HM204" s="81"/>
      <c r="HN204" s="81"/>
      <c r="HO204" s="81"/>
      <c r="HP204" s="81"/>
      <c r="HQ204" s="81"/>
      <c r="HR204" s="81"/>
      <c r="HS204" s="81"/>
      <c r="HT204" s="81"/>
      <c r="HU204" s="81"/>
      <c r="HV204" s="81"/>
      <c r="HW204" s="81"/>
      <c r="HX204" s="81"/>
      <c r="HY204" s="81"/>
      <c r="HZ204" s="81"/>
      <c r="IA204" s="81"/>
      <c r="IB204" s="81"/>
      <c r="IC204" s="81"/>
      <c r="ID204" s="81"/>
      <c r="IE204" s="81"/>
      <c r="IF204" s="81"/>
      <c r="IG204" s="81"/>
      <c r="IH204" s="81"/>
      <c r="II204" s="81"/>
      <c r="IJ204" s="81"/>
    </row>
    <row r="205" spans="1:244" s="43" customFormat="1" ht="38.25" x14ac:dyDescent="0.2">
      <c r="A205" s="54"/>
      <c r="B205" s="44" t="s">
        <v>440</v>
      </c>
      <c r="C205" s="41" t="s">
        <v>55</v>
      </c>
      <c r="D205" s="41">
        <f>1</f>
        <v>1</v>
      </c>
      <c r="E205" s="45">
        <f>ROUND(102/1000*10.9,2)</f>
        <v>1.1100000000000001</v>
      </c>
      <c r="F205" s="55">
        <f t="shared" si="43"/>
        <v>1.1100000000000001</v>
      </c>
      <c r="G205" s="41" t="s">
        <v>55</v>
      </c>
      <c r="H205" s="41"/>
      <c r="I205" s="41"/>
      <c r="J205" s="41">
        <f t="shared" si="46"/>
        <v>0</v>
      </c>
      <c r="K205" s="41">
        <f t="shared" si="48"/>
        <v>0</v>
      </c>
      <c r="L205" s="41">
        <f t="shared" si="45"/>
        <v>0</v>
      </c>
    </row>
    <row r="206" spans="1:244" s="81" customFormat="1" ht="38.25" x14ac:dyDescent="0.2">
      <c r="A206" s="54"/>
      <c r="B206" s="44" t="s">
        <v>158</v>
      </c>
      <c r="C206" s="41" t="s">
        <v>55</v>
      </c>
      <c r="D206" s="41">
        <f>2</f>
        <v>2</v>
      </c>
      <c r="E206" s="45">
        <f>ROUND(102/1000*10.9,2)</f>
        <v>1.1100000000000001</v>
      </c>
      <c r="F206" s="55">
        <f t="shared" si="43"/>
        <v>2.2200000000000002</v>
      </c>
      <c r="G206" s="41" t="s">
        <v>55</v>
      </c>
      <c r="H206" s="41"/>
      <c r="I206" s="41"/>
      <c r="J206" s="41">
        <f t="shared" si="46"/>
        <v>0</v>
      </c>
      <c r="K206" s="41">
        <f t="shared" si="48"/>
        <v>0</v>
      </c>
      <c r="L206" s="41">
        <f t="shared" si="45"/>
        <v>0</v>
      </c>
    </row>
    <row r="207" spans="1:244" s="81" customFormat="1" x14ac:dyDescent="0.2">
      <c r="A207" s="54"/>
      <c r="B207" s="40" t="s">
        <v>262</v>
      </c>
      <c r="C207" s="41" t="s">
        <v>55</v>
      </c>
      <c r="D207" s="41">
        <f>1</f>
        <v>1</v>
      </c>
      <c r="E207" s="45">
        <v>1.2E-2</v>
      </c>
      <c r="F207" s="55">
        <f t="shared" si="43"/>
        <v>1.2E-2</v>
      </c>
      <c r="G207" s="41" t="s">
        <v>55</v>
      </c>
      <c r="H207" s="41"/>
      <c r="I207" s="41"/>
      <c r="J207" s="41">
        <f t="shared" si="46"/>
        <v>0</v>
      </c>
      <c r="K207" s="41">
        <f t="shared" si="48"/>
        <v>0</v>
      </c>
      <c r="L207" s="41">
        <f t="shared" si="45"/>
        <v>0</v>
      </c>
    </row>
    <row r="208" spans="1:244" s="81" customFormat="1" x14ac:dyDescent="0.2">
      <c r="A208" s="54"/>
      <c r="B208" s="44"/>
      <c r="C208" s="41"/>
      <c r="D208" s="41"/>
      <c r="E208" s="45"/>
      <c r="F208" s="55"/>
      <c r="G208" s="41"/>
      <c r="H208" s="41"/>
      <c r="I208" s="41"/>
      <c r="J208" s="41"/>
      <c r="K208" s="41"/>
      <c r="L208" s="41"/>
    </row>
    <row r="209" spans="1:244" s="81" customFormat="1" ht="25.5" x14ac:dyDescent="0.2">
      <c r="A209" s="54"/>
      <c r="B209" s="44" t="s">
        <v>345</v>
      </c>
      <c r="C209" s="41" t="s">
        <v>55</v>
      </c>
      <c r="D209" s="41">
        <f>1</f>
        <v>1</v>
      </c>
      <c r="E209" s="45">
        <f>ROUND(16.5*2/1000*4.11,2)</f>
        <v>0.14000000000000001</v>
      </c>
      <c r="F209" s="55">
        <f t="shared" si="43"/>
        <v>0.14000000000000001</v>
      </c>
      <c r="G209" s="41" t="s">
        <v>55</v>
      </c>
      <c r="H209" s="41"/>
      <c r="I209" s="41"/>
      <c r="J209" s="41">
        <f t="shared" si="46"/>
        <v>0</v>
      </c>
      <c r="K209" s="41">
        <f t="shared" si="48"/>
        <v>0</v>
      </c>
      <c r="L209" s="41">
        <f t="shared" si="45"/>
        <v>0</v>
      </c>
    </row>
    <row r="210" spans="1:244" s="81" customFormat="1" ht="25.5" x14ac:dyDescent="0.2">
      <c r="A210" s="54"/>
      <c r="B210" s="44" t="s">
        <v>346</v>
      </c>
      <c r="C210" s="41" t="s">
        <v>55</v>
      </c>
      <c r="D210" s="41">
        <f>2</f>
        <v>2</v>
      </c>
      <c r="E210" s="45">
        <f>ROUND(18.5*2/1000*5.75,2)</f>
        <v>0.21</v>
      </c>
      <c r="F210" s="55">
        <f t="shared" si="43"/>
        <v>0.42</v>
      </c>
      <c r="G210" s="41" t="s">
        <v>55</v>
      </c>
      <c r="H210" s="41"/>
      <c r="I210" s="41"/>
      <c r="J210" s="41">
        <f t="shared" si="46"/>
        <v>0</v>
      </c>
      <c r="K210" s="41">
        <f t="shared" si="48"/>
        <v>0</v>
      </c>
      <c r="L210" s="41">
        <f t="shared" si="45"/>
        <v>0</v>
      </c>
    </row>
    <row r="211" spans="1:244" s="43" customFormat="1" ht="25.5" x14ac:dyDescent="0.2">
      <c r="A211" s="54"/>
      <c r="B211" s="44" t="s">
        <v>347</v>
      </c>
      <c r="C211" s="41" t="s">
        <v>55</v>
      </c>
      <c r="D211" s="41">
        <f>1+1</f>
        <v>2</v>
      </c>
      <c r="E211" s="45">
        <f>ROUND(23*2/1000*7.57,2)</f>
        <v>0.35</v>
      </c>
      <c r="F211" s="55">
        <f t="shared" si="43"/>
        <v>0.7</v>
      </c>
      <c r="G211" s="41" t="s">
        <v>55</v>
      </c>
      <c r="H211" s="41"/>
      <c r="I211" s="41"/>
      <c r="J211" s="41">
        <f t="shared" si="46"/>
        <v>0</v>
      </c>
      <c r="K211" s="41">
        <f t="shared" si="48"/>
        <v>0</v>
      </c>
      <c r="L211" s="41">
        <f t="shared" si="45"/>
        <v>0</v>
      </c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  <c r="EK211" s="81"/>
      <c r="EL211" s="81"/>
      <c r="EM211" s="81"/>
      <c r="EN211" s="81"/>
      <c r="EO211" s="81"/>
      <c r="EP211" s="81"/>
      <c r="EQ211" s="81"/>
      <c r="ER211" s="81"/>
      <c r="ES211" s="81"/>
      <c r="ET211" s="81"/>
      <c r="EU211" s="81"/>
      <c r="EV211" s="81"/>
      <c r="EW211" s="81"/>
      <c r="EX211" s="81"/>
      <c r="EY211" s="81"/>
      <c r="EZ211" s="81"/>
      <c r="FA211" s="81"/>
      <c r="FB211" s="81"/>
      <c r="FC211" s="81"/>
      <c r="FD211" s="81"/>
      <c r="FE211" s="81"/>
      <c r="FF211" s="81"/>
      <c r="FG211" s="81"/>
      <c r="FH211" s="81"/>
      <c r="FI211" s="81"/>
      <c r="FJ211" s="81"/>
      <c r="FK211" s="81"/>
      <c r="FL211" s="81"/>
      <c r="FM211" s="81"/>
      <c r="FN211" s="81"/>
      <c r="FO211" s="81"/>
      <c r="FP211" s="81"/>
      <c r="FQ211" s="81"/>
      <c r="FR211" s="81"/>
      <c r="FS211" s="81"/>
      <c r="FT211" s="81"/>
      <c r="FU211" s="81"/>
      <c r="FV211" s="81"/>
      <c r="FW211" s="81"/>
      <c r="FX211" s="81"/>
      <c r="FY211" s="81"/>
      <c r="FZ211" s="81"/>
      <c r="GA211" s="81"/>
      <c r="GB211" s="81"/>
      <c r="GC211" s="81"/>
      <c r="GD211" s="81"/>
      <c r="GE211" s="81"/>
      <c r="GF211" s="81"/>
      <c r="GG211" s="81"/>
      <c r="GH211" s="81"/>
      <c r="GI211" s="81"/>
      <c r="GJ211" s="81"/>
      <c r="GK211" s="81"/>
      <c r="GL211" s="81"/>
      <c r="GM211" s="81"/>
      <c r="GN211" s="81"/>
      <c r="GO211" s="81"/>
      <c r="GP211" s="81"/>
      <c r="GQ211" s="81"/>
      <c r="GR211" s="81"/>
      <c r="GS211" s="81"/>
      <c r="GT211" s="81"/>
      <c r="GU211" s="81"/>
      <c r="GV211" s="81"/>
      <c r="GW211" s="81"/>
      <c r="GX211" s="81"/>
      <c r="GY211" s="81"/>
      <c r="GZ211" s="81"/>
      <c r="HA211" s="81"/>
      <c r="HB211" s="81"/>
      <c r="HC211" s="81"/>
      <c r="HD211" s="81"/>
      <c r="HE211" s="81"/>
      <c r="HF211" s="81"/>
      <c r="HG211" s="81"/>
      <c r="HH211" s="81"/>
      <c r="HI211" s="81"/>
      <c r="HJ211" s="81"/>
      <c r="HK211" s="81"/>
      <c r="HL211" s="81"/>
      <c r="HM211" s="81"/>
      <c r="HN211" s="81"/>
      <c r="HO211" s="81"/>
      <c r="HP211" s="81"/>
      <c r="HQ211" s="81"/>
      <c r="HR211" s="81"/>
      <c r="HS211" s="81"/>
      <c r="HT211" s="81"/>
      <c r="HU211" s="81"/>
      <c r="HV211" s="81"/>
      <c r="HW211" s="81"/>
      <c r="HX211" s="81"/>
      <c r="HY211" s="81"/>
      <c r="HZ211" s="81"/>
      <c r="IA211" s="81"/>
      <c r="IB211" s="81"/>
      <c r="IC211" s="81"/>
      <c r="ID211" s="81"/>
      <c r="IE211" s="81"/>
      <c r="IF211" s="81"/>
      <c r="IG211" s="81"/>
      <c r="IH211" s="81"/>
      <c r="II211" s="81"/>
      <c r="IJ211" s="81"/>
    </row>
    <row r="212" spans="1:244" s="43" customFormat="1" ht="25.5" x14ac:dyDescent="0.2">
      <c r="A212" s="54"/>
      <c r="B212" s="44" t="s">
        <v>348</v>
      </c>
      <c r="C212" s="41" t="s">
        <v>55</v>
      </c>
      <c r="D212" s="41">
        <f>1</f>
        <v>1</v>
      </c>
      <c r="E212" s="45">
        <f>ROUND(35.5*2/1000*15,2)</f>
        <v>1.07</v>
      </c>
      <c r="F212" s="55">
        <f t="shared" si="43"/>
        <v>1.07</v>
      </c>
      <c r="G212" s="41" t="s">
        <v>55</v>
      </c>
      <c r="H212" s="41"/>
      <c r="I212" s="41"/>
      <c r="J212" s="41">
        <f t="shared" si="46"/>
        <v>0</v>
      </c>
      <c r="K212" s="41">
        <f t="shared" si="48"/>
        <v>0</v>
      </c>
      <c r="L212" s="41">
        <f t="shared" si="45"/>
        <v>0</v>
      </c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  <c r="EW212" s="81"/>
      <c r="EX212" s="81"/>
      <c r="EY212" s="81"/>
      <c r="EZ212" s="81"/>
      <c r="FA212" s="81"/>
      <c r="FB212" s="81"/>
      <c r="FC212" s="81"/>
      <c r="FD212" s="81"/>
      <c r="FE212" s="81"/>
      <c r="FF212" s="81"/>
      <c r="FG212" s="81"/>
      <c r="FH212" s="81"/>
      <c r="FI212" s="81"/>
      <c r="FJ212" s="81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1"/>
      <c r="GC212" s="81"/>
      <c r="GD212" s="81"/>
      <c r="GE212" s="81"/>
      <c r="GF212" s="81"/>
      <c r="GG212" s="81"/>
      <c r="GH212" s="81"/>
      <c r="GI212" s="81"/>
      <c r="GJ212" s="81"/>
      <c r="GK212" s="81"/>
      <c r="GL212" s="81"/>
      <c r="GM212" s="81"/>
      <c r="GN212" s="81"/>
      <c r="GO212" s="81"/>
      <c r="GP212" s="81"/>
      <c r="GQ212" s="81"/>
      <c r="GR212" s="81"/>
      <c r="GS212" s="81"/>
      <c r="GT212" s="81"/>
      <c r="GU212" s="81"/>
      <c r="GV212" s="81"/>
      <c r="GW212" s="81"/>
      <c r="GX212" s="81"/>
      <c r="GY212" s="81"/>
      <c r="GZ212" s="81"/>
      <c r="HA212" s="81"/>
      <c r="HB212" s="81"/>
      <c r="HC212" s="81"/>
      <c r="HD212" s="81"/>
      <c r="HE212" s="81"/>
      <c r="HF212" s="81"/>
      <c r="HG212" s="81"/>
      <c r="HH212" s="81"/>
      <c r="HI212" s="81"/>
      <c r="HJ212" s="81"/>
      <c r="HK212" s="81"/>
      <c r="HL212" s="81"/>
      <c r="HM212" s="81"/>
      <c r="HN212" s="81"/>
      <c r="HO212" s="81"/>
      <c r="HP212" s="81"/>
      <c r="HQ212" s="81"/>
      <c r="HR212" s="81"/>
      <c r="HS212" s="81"/>
      <c r="HT212" s="81"/>
      <c r="HU212" s="81"/>
      <c r="HV212" s="81"/>
      <c r="HW212" s="81"/>
      <c r="HX212" s="81"/>
      <c r="HY212" s="81"/>
      <c r="HZ212" s="81"/>
      <c r="IA212" s="81"/>
      <c r="IB212" s="81"/>
      <c r="IC212" s="81"/>
      <c r="ID212" s="81"/>
      <c r="IE212" s="81"/>
      <c r="IF212" s="81"/>
      <c r="IG212" s="81"/>
      <c r="IH212" s="81"/>
      <c r="II212" s="81"/>
      <c r="IJ212" s="81"/>
    </row>
    <row r="213" spans="1:244" s="43" customFormat="1" ht="25.5" x14ac:dyDescent="0.2">
      <c r="A213" s="54"/>
      <c r="B213" s="44" t="s">
        <v>162</v>
      </c>
      <c r="C213" s="41" t="s">
        <v>55</v>
      </c>
      <c r="D213" s="41">
        <v>1</v>
      </c>
      <c r="E213" s="45">
        <v>0.78</v>
      </c>
      <c r="F213" s="55">
        <f>D213*E213</f>
        <v>0.78</v>
      </c>
      <c r="G213" s="41" t="s">
        <v>55</v>
      </c>
      <c r="H213" s="41"/>
      <c r="I213" s="41"/>
      <c r="J213" s="41">
        <f>$D213*H213</f>
        <v>0</v>
      </c>
      <c r="K213" s="41">
        <f t="shared" si="48"/>
        <v>0</v>
      </c>
      <c r="L213" s="41">
        <f>J213+K213</f>
        <v>0</v>
      </c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  <c r="EK213" s="81"/>
      <c r="EL213" s="81"/>
      <c r="EM213" s="81"/>
      <c r="EN213" s="81"/>
      <c r="EO213" s="81"/>
      <c r="EP213" s="81"/>
      <c r="EQ213" s="81"/>
      <c r="ER213" s="81"/>
      <c r="ES213" s="81"/>
      <c r="ET213" s="81"/>
      <c r="EU213" s="81"/>
      <c r="EV213" s="81"/>
      <c r="EW213" s="81"/>
      <c r="EX213" s="81"/>
      <c r="EY213" s="81"/>
      <c r="EZ213" s="81"/>
      <c r="FA213" s="81"/>
      <c r="FB213" s="81"/>
      <c r="FC213" s="81"/>
      <c r="FD213" s="81"/>
      <c r="FE213" s="81"/>
      <c r="FF213" s="81"/>
      <c r="FG213" s="81"/>
      <c r="FH213" s="81"/>
      <c r="FI213" s="81"/>
      <c r="FJ213" s="81"/>
      <c r="FK213" s="81"/>
      <c r="FL213" s="81"/>
      <c r="FM213" s="81"/>
      <c r="FN213" s="81"/>
      <c r="FO213" s="81"/>
      <c r="FP213" s="81"/>
      <c r="FQ213" s="81"/>
      <c r="FR213" s="81"/>
      <c r="FS213" s="81"/>
      <c r="FT213" s="81"/>
      <c r="FU213" s="81"/>
      <c r="FV213" s="81"/>
      <c r="FW213" s="81"/>
      <c r="FX213" s="81"/>
      <c r="FY213" s="81"/>
      <c r="FZ213" s="81"/>
      <c r="GA213" s="81"/>
      <c r="GB213" s="81"/>
      <c r="GC213" s="81"/>
      <c r="GD213" s="81"/>
      <c r="GE213" s="81"/>
      <c r="GF213" s="81"/>
      <c r="GG213" s="81"/>
      <c r="GH213" s="81"/>
      <c r="GI213" s="81"/>
      <c r="GJ213" s="81"/>
      <c r="GK213" s="81"/>
      <c r="GL213" s="81"/>
      <c r="GM213" s="81"/>
      <c r="GN213" s="81"/>
      <c r="GO213" s="81"/>
      <c r="GP213" s="81"/>
      <c r="GQ213" s="81"/>
      <c r="GR213" s="81"/>
      <c r="GS213" s="81"/>
      <c r="GT213" s="81"/>
      <c r="GU213" s="81"/>
      <c r="GV213" s="81"/>
      <c r="GW213" s="81"/>
      <c r="GX213" s="81"/>
      <c r="GY213" s="81"/>
      <c r="GZ213" s="81"/>
      <c r="HA213" s="81"/>
      <c r="HB213" s="81"/>
      <c r="HC213" s="81"/>
      <c r="HD213" s="81"/>
      <c r="HE213" s="81"/>
      <c r="HF213" s="81"/>
      <c r="HG213" s="81"/>
      <c r="HH213" s="81"/>
      <c r="HI213" s="81"/>
      <c r="HJ213" s="81"/>
      <c r="HK213" s="81"/>
      <c r="HL213" s="81"/>
      <c r="HM213" s="81"/>
      <c r="HN213" s="81"/>
      <c r="HO213" s="81"/>
      <c r="HP213" s="81"/>
      <c r="HQ213" s="81"/>
      <c r="HR213" s="81"/>
      <c r="HS213" s="81"/>
      <c r="HT213" s="81"/>
      <c r="HU213" s="81"/>
      <c r="HV213" s="81"/>
      <c r="HW213" s="81"/>
      <c r="HX213" s="81"/>
      <c r="HY213" s="81"/>
      <c r="HZ213" s="81"/>
      <c r="IA213" s="81"/>
      <c r="IB213" s="81"/>
      <c r="IC213" s="81"/>
      <c r="ID213" s="81"/>
      <c r="IE213" s="81"/>
      <c r="IF213" s="81"/>
      <c r="IG213" s="81"/>
      <c r="IH213" s="81"/>
      <c r="II213" s="81"/>
      <c r="IJ213" s="81"/>
    </row>
    <row r="214" spans="1:244" s="43" customFormat="1" ht="38.25" x14ac:dyDescent="0.2">
      <c r="A214" s="54"/>
      <c r="B214" s="44" t="s">
        <v>163</v>
      </c>
      <c r="C214" s="41" t="s">
        <v>55</v>
      </c>
      <c r="D214" s="41">
        <v>1</v>
      </c>
      <c r="E214" s="45">
        <v>0.78</v>
      </c>
      <c r="F214" s="55">
        <f>D214*E214</f>
        <v>0.78</v>
      </c>
      <c r="G214" s="41" t="s">
        <v>55</v>
      </c>
      <c r="H214" s="41"/>
      <c r="I214" s="41"/>
      <c r="J214" s="41">
        <f>$D214*H214</f>
        <v>0</v>
      </c>
      <c r="K214" s="41">
        <f t="shared" si="48"/>
        <v>0</v>
      </c>
      <c r="L214" s="41">
        <f>J214+K214</f>
        <v>0</v>
      </c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  <c r="EK214" s="81"/>
      <c r="EL214" s="81"/>
      <c r="EM214" s="81"/>
      <c r="EN214" s="81"/>
      <c r="EO214" s="81"/>
      <c r="EP214" s="81"/>
      <c r="EQ214" s="81"/>
      <c r="ER214" s="81"/>
      <c r="ES214" s="81"/>
      <c r="ET214" s="81"/>
      <c r="EU214" s="81"/>
      <c r="EV214" s="81"/>
      <c r="EW214" s="81"/>
      <c r="EX214" s="81"/>
      <c r="EY214" s="81"/>
      <c r="EZ214" s="81"/>
      <c r="FA214" s="81"/>
      <c r="FB214" s="81"/>
      <c r="FC214" s="81"/>
      <c r="FD214" s="81"/>
      <c r="FE214" s="81"/>
      <c r="FF214" s="81"/>
      <c r="FG214" s="81"/>
      <c r="FH214" s="81"/>
      <c r="FI214" s="81"/>
      <c r="FJ214" s="81"/>
      <c r="FK214" s="81"/>
      <c r="FL214" s="81"/>
      <c r="FM214" s="81"/>
      <c r="FN214" s="81"/>
      <c r="FO214" s="81"/>
      <c r="FP214" s="81"/>
      <c r="FQ214" s="81"/>
      <c r="FR214" s="81"/>
      <c r="FS214" s="81"/>
      <c r="FT214" s="81"/>
      <c r="FU214" s="81"/>
      <c r="FV214" s="81"/>
      <c r="FW214" s="81"/>
      <c r="FX214" s="81"/>
      <c r="FY214" s="81"/>
      <c r="FZ214" s="81"/>
      <c r="GA214" s="81"/>
      <c r="GB214" s="81"/>
      <c r="GC214" s="81"/>
      <c r="GD214" s="81"/>
      <c r="GE214" s="81"/>
      <c r="GF214" s="81"/>
      <c r="GG214" s="81"/>
      <c r="GH214" s="81"/>
      <c r="GI214" s="81"/>
      <c r="GJ214" s="81"/>
      <c r="GK214" s="81"/>
      <c r="GL214" s="81"/>
      <c r="GM214" s="81"/>
      <c r="GN214" s="81"/>
      <c r="GO214" s="81"/>
      <c r="GP214" s="81"/>
      <c r="GQ214" s="81"/>
      <c r="GR214" s="81"/>
      <c r="GS214" s="81"/>
      <c r="GT214" s="81"/>
      <c r="GU214" s="81"/>
      <c r="GV214" s="81"/>
      <c r="GW214" s="81"/>
      <c r="GX214" s="81"/>
      <c r="GY214" s="81"/>
      <c r="GZ214" s="81"/>
      <c r="HA214" s="81"/>
      <c r="HB214" s="81"/>
      <c r="HC214" s="81"/>
      <c r="HD214" s="81"/>
      <c r="HE214" s="81"/>
      <c r="HF214" s="81"/>
      <c r="HG214" s="81"/>
      <c r="HH214" s="81"/>
      <c r="HI214" s="81"/>
      <c r="HJ214" s="81"/>
      <c r="HK214" s="81"/>
      <c r="HL214" s="81"/>
      <c r="HM214" s="81"/>
      <c r="HN214" s="81"/>
      <c r="HO214" s="81"/>
      <c r="HP214" s="81"/>
      <c r="HQ214" s="81"/>
      <c r="HR214" s="81"/>
      <c r="HS214" s="81"/>
      <c r="HT214" s="81"/>
      <c r="HU214" s="81"/>
      <c r="HV214" s="81"/>
      <c r="HW214" s="81"/>
      <c r="HX214" s="81"/>
      <c r="HY214" s="81"/>
      <c r="HZ214" s="81"/>
      <c r="IA214" s="81"/>
      <c r="IB214" s="81"/>
      <c r="IC214" s="81"/>
      <c r="ID214" s="81"/>
      <c r="IE214" s="81"/>
      <c r="IF214" s="81"/>
      <c r="IG214" s="81"/>
      <c r="IH214" s="81"/>
      <c r="II214" s="81"/>
      <c r="IJ214" s="81"/>
    </row>
    <row r="215" spans="1:244" s="81" customFormat="1" ht="25.5" x14ac:dyDescent="0.2">
      <c r="A215" s="54"/>
      <c r="B215" s="44" t="s">
        <v>264</v>
      </c>
      <c r="C215" s="41" t="s">
        <v>55</v>
      </c>
      <c r="D215" s="41">
        <v>1</v>
      </c>
      <c r="E215" s="45">
        <v>4.71</v>
      </c>
      <c r="F215" s="55">
        <f>D215*E215</f>
        <v>4.71</v>
      </c>
      <c r="G215" s="41" t="s">
        <v>55</v>
      </c>
      <c r="H215" s="41"/>
      <c r="I215" s="41"/>
      <c r="J215" s="41">
        <f>$D215*H215</f>
        <v>0</v>
      </c>
      <c r="K215" s="41">
        <f t="shared" si="48"/>
        <v>0</v>
      </c>
      <c r="L215" s="41">
        <f>J215+K215</f>
        <v>0</v>
      </c>
    </row>
    <row r="216" spans="1:244" s="43" customFormat="1" x14ac:dyDescent="0.2">
      <c r="A216" s="18"/>
      <c r="B216" s="13"/>
      <c r="C216" s="12"/>
      <c r="D216" s="24"/>
      <c r="E216" s="12"/>
      <c r="F216" s="12"/>
      <c r="G216" s="12"/>
      <c r="H216" s="11"/>
      <c r="I216" s="11"/>
      <c r="J216" s="11"/>
      <c r="K216" s="11"/>
      <c r="L216" s="11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</row>
    <row r="217" spans="1:244" s="81" customFormat="1" ht="14.25" x14ac:dyDescent="0.2">
      <c r="A217" s="18"/>
      <c r="B217" s="13" t="s">
        <v>265</v>
      </c>
      <c r="C217" s="12"/>
      <c r="D217" s="24"/>
      <c r="E217" s="12"/>
      <c r="F217" s="12"/>
      <c r="G217" s="12"/>
      <c r="H217" s="11"/>
      <c r="I217" s="11"/>
      <c r="J217" s="11"/>
      <c r="K217" s="11"/>
      <c r="L217" s="1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</row>
    <row r="218" spans="1:244" s="43" customFormat="1" ht="25.5" x14ac:dyDescent="0.2">
      <c r="A218" s="54"/>
      <c r="B218" s="40" t="s">
        <v>330</v>
      </c>
      <c r="C218" s="41" t="s">
        <v>70</v>
      </c>
      <c r="D218" s="76">
        <f>CEILING(1.01*(2+0.5+0.4+1.8),1)</f>
        <v>5</v>
      </c>
      <c r="E218" s="45">
        <v>1.2</v>
      </c>
      <c r="F218" s="55">
        <f t="shared" ref="F218:F226" si="49">D218*E218</f>
        <v>6</v>
      </c>
      <c r="G218" s="41" t="s">
        <v>71</v>
      </c>
      <c r="H218" s="41"/>
      <c r="I218" s="41"/>
      <c r="J218" s="41">
        <f t="shared" ref="J218:J226" si="50">$F218*H218</f>
        <v>0</v>
      </c>
      <c r="K218" s="41">
        <f t="shared" ref="K218:K226" si="51">$D218*I218</f>
        <v>0</v>
      </c>
      <c r="L218" s="41">
        <f t="shared" ref="L218:L226" si="52">J218+K218</f>
        <v>0</v>
      </c>
    </row>
    <row r="219" spans="1:244" s="43" customFormat="1" ht="25.5" x14ac:dyDescent="0.2">
      <c r="A219" s="54"/>
      <c r="B219" s="40" t="s">
        <v>332</v>
      </c>
      <c r="C219" s="41" t="s">
        <v>70</v>
      </c>
      <c r="D219" s="76">
        <f>CEILING(1.01*(1.5+1.2+3.2+2+1+4.5+2),1)</f>
        <v>16</v>
      </c>
      <c r="E219" s="45">
        <v>1.99</v>
      </c>
      <c r="F219" s="55">
        <f t="shared" si="49"/>
        <v>31.84</v>
      </c>
      <c r="G219" s="41" t="s">
        <v>71</v>
      </c>
      <c r="H219" s="41"/>
      <c r="I219" s="41"/>
      <c r="J219" s="41">
        <f t="shared" si="50"/>
        <v>0</v>
      </c>
      <c r="K219" s="41">
        <f t="shared" si="51"/>
        <v>0</v>
      </c>
      <c r="L219" s="41">
        <f t="shared" si="52"/>
        <v>0</v>
      </c>
    </row>
    <row r="220" spans="1:244" s="43" customFormat="1" ht="25.5" x14ac:dyDescent="0.2">
      <c r="A220" s="54"/>
      <c r="B220" s="40" t="s">
        <v>333</v>
      </c>
      <c r="C220" s="41" t="s">
        <v>70</v>
      </c>
      <c r="D220" s="76">
        <f>CEILING(1.01*(1+1.5+3+1),1)</f>
        <v>7</v>
      </c>
      <c r="E220" s="45">
        <v>2.5499999999999998</v>
      </c>
      <c r="F220" s="55">
        <f t="shared" si="49"/>
        <v>17.849999999999998</v>
      </c>
      <c r="G220" s="41" t="s">
        <v>71</v>
      </c>
      <c r="H220" s="41"/>
      <c r="I220" s="41"/>
      <c r="J220" s="41">
        <f t="shared" si="50"/>
        <v>0</v>
      </c>
      <c r="K220" s="41">
        <f t="shared" si="51"/>
        <v>0</v>
      </c>
      <c r="L220" s="41">
        <f t="shared" si="52"/>
        <v>0</v>
      </c>
    </row>
    <row r="221" spans="1:244" s="43" customFormat="1" ht="25.5" x14ac:dyDescent="0.2">
      <c r="A221" s="54"/>
      <c r="B221" s="40" t="s">
        <v>335</v>
      </c>
      <c r="C221" s="41" t="s">
        <v>70</v>
      </c>
      <c r="D221" s="76">
        <f>CEILING(1.01*(1.2+1.1+0.5+0.5+0.5+1+1.5+2.2+4),1)</f>
        <v>13</v>
      </c>
      <c r="E221" s="45">
        <v>4.1100000000000003</v>
      </c>
      <c r="F221" s="55">
        <f t="shared" si="49"/>
        <v>53.430000000000007</v>
      </c>
      <c r="G221" s="41" t="s">
        <v>71</v>
      </c>
      <c r="H221" s="41"/>
      <c r="I221" s="41"/>
      <c r="J221" s="41">
        <f t="shared" si="50"/>
        <v>0</v>
      </c>
      <c r="K221" s="41">
        <f t="shared" si="51"/>
        <v>0</v>
      </c>
      <c r="L221" s="41">
        <f t="shared" si="52"/>
        <v>0</v>
      </c>
    </row>
    <row r="222" spans="1:244" s="43" customFormat="1" ht="25.5" x14ac:dyDescent="0.2">
      <c r="A222" s="54"/>
      <c r="B222" s="40" t="s">
        <v>336</v>
      </c>
      <c r="C222" s="41" t="s">
        <v>70</v>
      </c>
      <c r="D222" s="76">
        <f>CEILING(1.01*(1.5+1.85+2.5+0.2+2+5.5),1)</f>
        <v>14</v>
      </c>
      <c r="E222" s="45">
        <v>5.75</v>
      </c>
      <c r="F222" s="55">
        <f t="shared" si="49"/>
        <v>80.5</v>
      </c>
      <c r="G222" s="41" t="s">
        <v>71</v>
      </c>
      <c r="H222" s="41"/>
      <c r="I222" s="41"/>
      <c r="J222" s="41">
        <f t="shared" si="50"/>
        <v>0</v>
      </c>
      <c r="K222" s="41">
        <f t="shared" si="51"/>
        <v>0</v>
      </c>
      <c r="L222" s="41">
        <f t="shared" si="52"/>
        <v>0</v>
      </c>
    </row>
    <row r="223" spans="1:244" s="84" customFormat="1" ht="25.5" x14ac:dyDescent="0.2">
      <c r="A223" s="54"/>
      <c r="B223" s="40" t="s">
        <v>337</v>
      </c>
      <c r="C223" s="41" t="s">
        <v>70</v>
      </c>
      <c r="D223" s="76">
        <f>CEILING(1.01*(2*3.7+0.5),1)</f>
        <v>8</v>
      </c>
      <c r="E223" s="45">
        <v>7.57</v>
      </c>
      <c r="F223" s="55">
        <f t="shared" si="49"/>
        <v>60.56</v>
      </c>
      <c r="G223" s="41" t="s">
        <v>71</v>
      </c>
      <c r="H223" s="41"/>
      <c r="I223" s="41"/>
      <c r="J223" s="41">
        <f t="shared" si="50"/>
        <v>0</v>
      </c>
      <c r="K223" s="41">
        <f t="shared" si="51"/>
        <v>0</v>
      </c>
      <c r="L223" s="41">
        <f t="shared" si="52"/>
        <v>0</v>
      </c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  <c r="GQ223" s="43"/>
      <c r="GR223" s="43"/>
      <c r="GS223" s="43"/>
      <c r="GT223" s="43"/>
      <c r="GU223" s="43"/>
      <c r="GV223" s="43"/>
      <c r="GW223" s="43"/>
      <c r="GX223" s="43"/>
      <c r="GY223" s="43"/>
      <c r="GZ223" s="43"/>
      <c r="HA223" s="43"/>
      <c r="HB223" s="43"/>
      <c r="HC223" s="43"/>
      <c r="HD223" s="43"/>
      <c r="HE223" s="43"/>
      <c r="HF223" s="43"/>
      <c r="HG223" s="43"/>
      <c r="HH223" s="43"/>
      <c r="HI223" s="43"/>
      <c r="HJ223" s="43"/>
      <c r="HK223" s="43"/>
      <c r="HL223" s="43"/>
      <c r="HM223" s="43"/>
      <c r="HN223" s="43"/>
      <c r="HO223" s="43"/>
      <c r="HP223" s="43"/>
      <c r="HQ223" s="43"/>
      <c r="HR223" s="43"/>
      <c r="HS223" s="43"/>
      <c r="HT223" s="43"/>
      <c r="HU223" s="43"/>
      <c r="HV223" s="43"/>
      <c r="HW223" s="43"/>
      <c r="HX223" s="43"/>
      <c r="HY223" s="43"/>
      <c r="HZ223" s="43"/>
      <c r="IA223" s="43"/>
      <c r="IB223" s="43"/>
      <c r="IC223" s="43"/>
      <c r="ID223" s="43"/>
      <c r="IE223" s="43"/>
      <c r="IF223" s="43"/>
      <c r="IG223" s="43"/>
      <c r="IH223" s="43"/>
      <c r="II223" s="43"/>
      <c r="IJ223" s="43"/>
    </row>
    <row r="224" spans="1:244" s="43" customFormat="1" ht="25.5" x14ac:dyDescent="0.2">
      <c r="A224" s="54"/>
      <c r="B224" s="40" t="s">
        <v>349</v>
      </c>
      <c r="C224" s="41" t="s">
        <v>70</v>
      </c>
      <c r="D224" s="76">
        <f>CEILING(1.01*(2.1),1)</f>
        <v>3</v>
      </c>
      <c r="E224" s="45">
        <v>10.9</v>
      </c>
      <c r="F224" s="55">
        <f t="shared" si="49"/>
        <v>32.700000000000003</v>
      </c>
      <c r="G224" s="41" t="s">
        <v>71</v>
      </c>
      <c r="H224" s="41"/>
      <c r="I224" s="41"/>
      <c r="J224" s="41">
        <f t="shared" si="50"/>
        <v>0</v>
      </c>
      <c r="K224" s="41">
        <f t="shared" si="51"/>
        <v>0</v>
      </c>
      <c r="L224" s="41">
        <f t="shared" si="52"/>
        <v>0</v>
      </c>
    </row>
    <row r="225" spans="1:244" s="43" customFormat="1" ht="25.5" x14ac:dyDescent="0.2">
      <c r="A225" s="54"/>
      <c r="B225" s="40" t="s">
        <v>338</v>
      </c>
      <c r="C225" s="41" t="s">
        <v>70</v>
      </c>
      <c r="D225" s="76">
        <f>CEILING(1.01*(2*(0.3+0.85)+1.75+2.5+1+3),1)</f>
        <v>11</v>
      </c>
      <c r="E225" s="45">
        <v>15</v>
      </c>
      <c r="F225" s="55">
        <f t="shared" si="49"/>
        <v>165</v>
      </c>
      <c r="G225" s="41" t="s">
        <v>71</v>
      </c>
      <c r="H225" s="41"/>
      <c r="I225" s="41"/>
      <c r="J225" s="41">
        <f t="shared" si="50"/>
        <v>0</v>
      </c>
      <c r="K225" s="41">
        <f t="shared" si="51"/>
        <v>0</v>
      </c>
      <c r="L225" s="41">
        <f t="shared" si="52"/>
        <v>0</v>
      </c>
    </row>
    <row r="226" spans="1:244" ht="25.5" x14ac:dyDescent="0.2">
      <c r="A226" s="54"/>
      <c r="B226" s="44" t="s">
        <v>350</v>
      </c>
      <c r="C226" s="41" t="s">
        <v>70</v>
      </c>
      <c r="D226" s="76">
        <f>CEILING(1.01*(1.15+1.7),1)</f>
        <v>3</v>
      </c>
      <c r="E226" s="45">
        <v>33.1</v>
      </c>
      <c r="F226" s="55">
        <f t="shared" si="49"/>
        <v>99.300000000000011</v>
      </c>
      <c r="G226" s="41" t="s">
        <v>71</v>
      </c>
      <c r="H226" s="41"/>
      <c r="I226" s="41"/>
      <c r="J226" s="41">
        <f t="shared" si="50"/>
        <v>0</v>
      </c>
      <c r="K226" s="41">
        <f t="shared" si="51"/>
        <v>0</v>
      </c>
      <c r="L226" s="41">
        <f t="shared" si="52"/>
        <v>0</v>
      </c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  <c r="EK226" s="81"/>
      <c r="EL226" s="81"/>
      <c r="EM226" s="81"/>
      <c r="EN226" s="81"/>
      <c r="EO226" s="81"/>
      <c r="EP226" s="81"/>
      <c r="EQ226" s="81"/>
      <c r="ER226" s="81"/>
      <c r="ES226" s="81"/>
      <c r="ET226" s="81"/>
      <c r="EU226" s="81"/>
      <c r="EV226" s="81"/>
      <c r="EW226" s="81"/>
      <c r="EX226" s="81"/>
      <c r="EY226" s="81"/>
      <c r="EZ226" s="81"/>
      <c r="FA226" s="81"/>
      <c r="FB226" s="81"/>
      <c r="FC226" s="81"/>
      <c r="FD226" s="81"/>
      <c r="FE226" s="81"/>
      <c r="FF226" s="81"/>
      <c r="FG226" s="81"/>
      <c r="FH226" s="81"/>
      <c r="FI226" s="81"/>
      <c r="FJ226" s="81"/>
      <c r="FK226" s="81"/>
      <c r="FL226" s="81"/>
      <c r="FM226" s="81"/>
      <c r="FN226" s="81"/>
      <c r="FO226" s="81"/>
      <c r="FP226" s="81"/>
      <c r="FQ226" s="81"/>
      <c r="FR226" s="81"/>
      <c r="FS226" s="81"/>
      <c r="FT226" s="81"/>
      <c r="FU226" s="81"/>
      <c r="FV226" s="81"/>
      <c r="FW226" s="81"/>
      <c r="FX226" s="81"/>
      <c r="FY226" s="81"/>
      <c r="FZ226" s="81"/>
      <c r="GA226" s="81"/>
      <c r="GB226" s="81"/>
      <c r="GC226" s="81"/>
      <c r="GD226" s="81"/>
      <c r="GE226" s="81"/>
      <c r="GF226" s="81"/>
      <c r="GG226" s="81"/>
      <c r="GH226" s="81"/>
      <c r="GI226" s="81"/>
      <c r="GJ226" s="81"/>
      <c r="GK226" s="81"/>
      <c r="GL226" s="81"/>
      <c r="GM226" s="81"/>
      <c r="GN226" s="81"/>
      <c r="GO226" s="81"/>
      <c r="GP226" s="81"/>
      <c r="GQ226" s="81"/>
      <c r="GR226" s="81"/>
      <c r="GS226" s="81"/>
      <c r="GT226" s="81"/>
      <c r="GU226" s="81"/>
      <c r="GV226" s="81"/>
      <c r="GW226" s="81"/>
      <c r="GX226" s="81"/>
      <c r="GY226" s="81"/>
      <c r="GZ226" s="81"/>
      <c r="HA226" s="81"/>
      <c r="HB226" s="81"/>
      <c r="HC226" s="81"/>
      <c r="HD226" s="81"/>
      <c r="HE226" s="81"/>
      <c r="HF226" s="81"/>
      <c r="HG226" s="81"/>
      <c r="HH226" s="81"/>
      <c r="HI226" s="81"/>
      <c r="HJ226" s="81"/>
      <c r="HK226" s="81"/>
      <c r="HL226" s="81"/>
      <c r="HM226" s="81"/>
      <c r="HN226" s="81"/>
      <c r="HO226" s="81"/>
      <c r="HP226" s="81"/>
      <c r="HQ226" s="81"/>
      <c r="HR226" s="81"/>
      <c r="HS226" s="81"/>
      <c r="HT226" s="81"/>
      <c r="HU226" s="81"/>
      <c r="HV226" s="81"/>
      <c r="HW226" s="81"/>
      <c r="HX226" s="81"/>
      <c r="HY226" s="81"/>
      <c r="HZ226" s="81"/>
      <c r="IA226" s="81"/>
      <c r="IB226" s="81"/>
      <c r="IC226" s="81"/>
      <c r="ID226" s="81"/>
      <c r="IE226" s="81"/>
      <c r="IF226" s="81"/>
      <c r="IG226" s="81"/>
      <c r="IH226" s="81"/>
      <c r="II226" s="81"/>
      <c r="IJ226" s="81"/>
    </row>
    <row r="227" spans="1:244" ht="25.5" x14ac:dyDescent="0.2">
      <c r="A227" s="84"/>
      <c r="B227" s="85" t="s">
        <v>115</v>
      </c>
      <c r="C227" s="41" t="s">
        <v>55</v>
      </c>
      <c r="D227" s="41">
        <f>6+1+5</f>
        <v>12</v>
      </c>
      <c r="E227" s="45">
        <f>ROUND(PI()/2*29/1000*1.2,2)</f>
        <v>0.05</v>
      </c>
      <c r="F227" s="55">
        <f t="shared" ref="F227:F242" si="53">D227*E227</f>
        <v>0.60000000000000009</v>
      </c>
      <c r="G227" s="41" t="s">
        <v>55</v>
      </c>
      <c r="H227" s="75"/>
      <c r="I227" s="75"/>
      <c r="J227" s="41">
        <f t="shared" ref="J227:J242" si="54">$D227*H227</f>
        <v>0</v>
      </c>
      <c r="K227" s="41">
        <f t="shared" ref="K227:K242" si="55">$D227*I227</f>
        <v>0</v>
      </c>
      <c r="L227" s="41">
        <f t="shared" ref="L227:L242" si="56">J227+K227</f>
        <v>0</v>
      </c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84"/>
      <c r="EY227" s="84"/>
      <c r="EZ227" s="84"/>
      <c r="FA227" s="84"/>
      <c r="FB227" s="84"/>
      <c r="FC227" s="84"/>
      <c r="FD227" s="84"/>
      <c r="FE227" s="84"/>
      <c r="FF227" s="84"/>
      <c r="FG227" s="84"/>
      <c r="FH227" s="84"/>
      <c r="FI227" s="84"/>
      <c r="FJ227" s="84"/>
      <c r="FK227" s="84"/>
      <c r="FL227" s="84"/>
      <c r="FM227" s="84"/>
      <c r="FN227" s="84"/>
      <c r="FO227" s="84"/>
      <c r="FP227" s="84"/>
      <c r="FQ227" s="84"/>
      <c r="FR227" s="84"/>
      <c r="FS227" s="84"/>
      <c r="FT227" s="84"/>
      <c r="FU227" s="84"/>
      <c r="FV227" s="84"/>
      <c r="FW227" s="84"/>
      <c r="FX227" s="84"/>
      <c r="FY227" s="84"/>
      <c r="FZ227" s="84"/>
      <c r="GA227" s="84"/>
      <c r="GB227" s="84"/>
      <c r="GC227" s="84"/>
      <c r="GD227" s="84"/>
      <c r="GE227" s="84"/>
      <c r="GF227" s="84"/>
      <c r="GG227" s="84"/>
      <c r="GH227" s="84"/>
      <c r="GI227" s="84"/>
      <c r="GJ227" s="84"/>
      <c r="GK227" s="84"/>
      <c r="GL227" s="84"/>
      <c r="GM227" s="84"/>
      <c r="GN227" s="84"/>
      <c r="GO227" s="84"/>
      <c r="GP227" s="84"/>
      <c r="GQ227" s="84"/>
      <c r="GR227" s="84"/>
      <c r="GS227" s="84"/>
      <c r="GT227" s="84"/>
      <c r="GU227" s="84"/>
      <c r="GV227" s="84"/>
      <c r="GW227" s="84"/>
      <c r="GX227" s="84"/>
      <c r="GY227" s="84"/>
      <c r="GZ227" s="84"/>
      <c r="HA227" s="84"/>
      <c r="HB227" s="84"/>
      <c r="HC227" s="84"/>
      <c r="HD227" s="84"/>
      <c r="HE227" s="84"/>
      <c r="HF227" s="84"/>
      <c r="HG227" s="84"/>
      <c r="HH227" s="84"/>
      <c r="HI227" s="84"/>
      <c r="HJ227" s="84"/>
      <c r="HK227" s="84"/>
      <c r="HL227" s="84"/>
      <c r="HM227" s="84"/>
      <c r="HN227" s="84"/>
      <c r="HO227" s="84"/>
      <c r="HP227" s="84"/>
      <c r="HQ227" s="84"/>
      <c r="HR227" s="84"/>
      <c r="HS227" s="84"/>
      <c r="HT227" s="84"/>
      <c r="HU227" s="84"/>
      <c r="HV227" s="84"/>
      <c r="HW227" s="84"/>
      <c r="HX227" s="84"/>
      <c r="HY227" s="84"/>
      <c r="HZ227" s="84"/>
      <c r="IA227" s="84"/>
      <c r="IB227" s="84"/>
      <c r="IC227" s="84"/>
      <c r="ID227" s="84"/>
      <c r="IE227" s="84"/>
      <c r="IF227" s="84"/>
      <c r="IG227" s="84"/>
      <c r="IH227" s="84"/>
      <c r="II227" s="84"/>
      <c r="IJ227" s="84"/>
    </row>
    <row r="228" spans="1:244" s="84" customFormat="1" ht="25.5" x14ac:dyDescent="0.2">
      <c r="B228" s="85" t="s">
        <v>116</v>
      </c>
      <c r="C228" s="41" t="s">
        <v>55</v>
      </c>
      <c r="D228" s="41">
        <f>3+2+1+8</f>
        <v>14</v>
      </c>
      <c r="E228" s="45">
        <f>ROUND(PI()/2*38/1000*1.99,2)</f>
        <v>0.12</v>
      </c>
      <c r="F228" s="55">
        <f t="shared" si="53"/>
        <v>1.68</v>
      </c>
      <c r="G228" s="41" t="s">
        <v>55</v>
      </c>
      <c r="H228" s="75"/>
      <c r="I228" s="75"/>
      <c r="J228" s="41">
        <f t="shared" si="54"/>
        <v>0</v>
      </c>
      <c r="K228" s="41">
        <f t="shared" si="55"/>
        <v>0</v>
      </c>
      <c r="L228" s="41">
        <f t="shared" si="56"/>
        <v>0</v>
      </c>
    </row>
    <row r="229" spans="1:244" s="81" customFormat="1" ht="25.5" x14ac:dyDescent="0.2">
      <c r="A229" s="84"/>
      <c r="B229" s="85" t="s">
        <v>117</v>
      </c>
      <c r="C229" s="41" t="s">
        <v>55</v>
      </c>
      <c r="D229" s="41">
        <f>2+3+2+1+1+2</f>
        <v>11</v>
      </c>
      <c r="E229" s="45">
        <f>ROUND(PI()/2*48/1000*2.55,2)</f>
        <v>0.19</v>
      </c>
      <c r="F229" s="55">
        <f t="shared" si="53"/>
        <v>2.09</v>
      </c>
      <c r="G229" s="41" t="s">
        <v>55</v>
      </c>
      <c r="H229" s="75"/>
      <c r="I229" s="75"/>
      <c r="J229" s="41">
        <f t="shared" si="54"/>
        <v>0</v>
      </c>
      <c r="K229" s="41">
        <f t="shared" si="55"/>
        <v>0</v>
      </c>
      <c r="L229" s="41">
        <f t="shared" si="56"/>
        <v>0</v>
      </c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  <c r="FP229" s="84"/>
      <c r="FQ229" s="84"/>
      <c r="FR229" s="84"/>
      <c r="FS229" s="84"/>
      <c r="FT229" s="84"/>
      <c r="FU229" s="84"/>
      <c r="FV229" s="84"/>
      <c r="FW229" s="84"/>
      <c r="FX229" s="84"/>
      <c r="FY229" s="84"/>
      <c r="FZ229" s="84"/>
      <c r="GA229" s="84"/>
      <c r="GB229" s="84"/>
      <c r="GC229" s="84"/>
      <c r="GD229" s="84"/>
      <c r="GE229" s="84"/>
      <c r="GF229" s="84"/>
      <c r="GG229" s="84"/>
      <c r="GH229" s="84"/>
      <c r="GI229" s="84"/>
      <c r="GJ229" s="84"/>
      <c r="GK229" s="84"/>
      <c r="GL229" s="84"/>
      <c r="GM229" s="84"/>
      <c r="GN229" s="84"/>
      <c r="GO229" s="84"/>
      <c r="GP229" s="84"/>
      <c r="GQ229" s="84"/>
      <c r="GR229" s="84"/>
      <c r="GS229" s="84"/>
      <c r="GT229" s="84"/>
      <c r="GU229" s="84"/>
      <c r="GV229" s="84"/>
      <c r="GW229" s="84"/>
      <c r="GX229" s="84"/>
      <c r="GY229" s="84"/>
      <c r="GZ229" s="84"/>
      <c r="HA229" s="84"/>
      <c r="HB229" s="84"/>
      <c r="HC229" s="84"/>
      <c r="HD229" s="84"/>
      <c r="HE229" s="84"/>
      <c r="HF229" s="84"/>
      <c r="HG229" s="84"/>
      <c r="HH229" s="84"/>
      <c r="HI229" s="84"/>
      <c r="HJ229" s="84"/>
      <c r="HK229" s="84"/>
      <c r="HL229" s="84"/>
      <c r="HM229" s="84"/>
      <c r="HN229" s="84"/>
      <c r="HO229" s="84"/>
      <c r="HP229" s="84"/>
      <c r="HQ229" s="84"/>
      <c r="HR229" s="84"/>
      <c r="HS229" s="84"/>
      <c r="HT229" s="84"/>
      <c r="HU229" s="84"/>
      <c r="HV229" s="84"/>
      <c r="HW229" s="84"/>
      <c r="HX229" s="84"/>
      <c r="HY229" s="84"/>
      <c r="HZ229" s="84"/>
      <c r="IA229" s="84"/>
      <c r="IB229" s="84"/>
      <c r="IC229" s="84"/>
      <c r="ID229" s="84"/>
      <c r="IE229" s="84"/>
      <c r="IF229" s="84"/>
      <c r="IG229" s="84"/>
      <c r="IH229" s="84"/>
      <c r="II229" s="84"/>
      <c r="IJ229" s="84"/>
    </row>
    <row r="230" spans="1:244" s="81" customFormat="1" ht="25.5" x14ac:dyDescent="0.2">
      <c r="A230" s="84"/>
      <c r="B230" s="85" t="s">
        <v>118</v>
      </c>
      <c r="C230" s="41" t="s">
        <v>55</v>
      </c>
      <c r="D230" s="41">
        <f>4+2+2+2+8+8</f>
        <v>26</v>
      </c>
      <c r="E230" s="45">
        <f>ROUND(PI()/2*76/1000*4.11,2)</f>
        <v>0.49</v>
      </c>
      <c r="F230" s="55">
        <f t="shared" si="53"/>
        <v>12.74</v>
      </c>
      <c r="G230" s="41" t="s">
        <v>55</v>
      </c>
      <c r="H230" s="75"/>
      <c r="I230" s="75"/>
      <c r="J230" s="41">
        <f t="shared" si="54"/>
        <v>0</v>
      </c>
      <c r="K230" s="41">
        <f t="shared" si="55"/>
        <v>0</v>
      </c>
      <c r="L230" s="41">
        <f t="shared" si="56"/>
        <v>0</v>
      </c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  <c r="FP230" s="84"/>
      <c r="FQ230" s="84"/>
      <c r="FR230" s="84"/>
      <c r="FS230" s="84"/>
      <c r="FT230" s="84"/>
      <c r="FU230" s="84"/>
      <c r="FV230" s="84"/>
      <c r="FW230" s="84"/>
      <c r="FX230" s="84"/>
      <c r="FY230" s="84"/>
      <c r="FZ230" s="84"/>
      <c r="GA230" s="84"/>
      <c r="GB230" s="84"/>
      <c r="GC230" s="84"/>
      <c r="GD230" s="84"/>
      <c r="GE230" s="84"/>
      <c r="GF230" s="84"/>
      <c r="GG230" s="84"/>
      <c r="GH230" s="84"/>
      <c r="GI230" s="84"/>
      <c r="GJ230" s="84"/>
      <c r="GK230" s="84"/>
      <c r="GL230" s="84"/>
      <c r="GM230" s="84"/>
      <c r="GN230" s="84"/>
      <c r="GO230" s="84"/>
      <c r="GP230" s="84"/>
      <c r="GQ230" s="84"/>
      <c r="GR230" s="84"/>
      <c r="GS230" s="84"/>
      <c r="GT230" s="84"/>
      <c r="GU230" s="84"/>
      <c r="GV230" s="84"/>
      <c r="GW230" s="84"/>
      <c r="GX230" s="84"/>
      <c r="GY230" s="84"/>
      <c r="GZ230" s="84"/>
      <c r="HA230" s="84"/>
      <c r="HB230" s="84"/>
      <c r="HC230" s="84"/>
      <c r="HD230" s="84"/>
      <c r="HE230" s="84"/>
      <c r="HF230" s="84"/>
      <c r="HG230" s="84"/>
      <c r="HH230" s="84"/>
      <c r="HI230" s="84"/>
      <c r="HJ230" s="84"/>
      <c r="HK230" s="84"/>
      <c r="HL230" s="84"/>
      <c r="HM230" s="84"/>
      <c r="HN230" s="84"/>
      <c r="HO230" s="84"/>
      <c r="HP230" s="84"/>
      <c r="HQ230" s="84"/>
      <c r="HR230" s="84"/>
      <c r="HS230" s="84"/>
      <c r="HT230" s="84"/>
      <c r="HU230" s="84"/>
      <c r="HV230" s="84"/>
      <c r="HW230" s="84"/>
      <c r="HX230" s="84"/>
      <c r="HY230" s="84"/>
      <c r="HZ230" s="84"/>
      <c r="IA230" s="84"/>
      <c r="IB230" s="84"/>
      <c r="IC230" s="84"/>
      <c r="ID230" s="84"/>
      <c r="IE230" s="84"/>
      <c r="IF230" s="84"/>
      <c r="IG230" s="84"/>
      <c r="IH230" s="84"/>
      <c r="II230" s="84"/>
      <c r="IJ230" s="84"/>
    </row>
    <row r="231" spans="1:244" ht="25.5" x14ac:dyDescent="0.2">
      <c r="A231" s="84"/>
      <c r="B231" s="85" t="s">
        <v>119</v>
      </c>
      <c r="C231" s="41" t="s">
        <v>55</v>
      </c>
      <c r="D231" s="41">
        <f>4+3</f>
        <v>7</v>
      </c>
      <c r="E231" s="45">
        <f>ROUND(PI()/2*95/1000*5.75,2)</f>
        <v>0.86</v>
      </c>
      <c r="F231" s="41">
        <f t="shared" si="53"/>
        <v>6.02</v>
      </c>
      <c r="G231" s="41" t="s">
        <v>55</v>
      </c>
      <c r="H231" s="75"/>
      <c r="I231" s="75"/>
      <c r="J231" s="41">
        <f t="shared" si="54"/>
        <v>0</v>
      </c>
      <c r="K231" s="41">
        <f t="shared" si="55"/>
        <v>0</v>
      </c>
      <c r="L231" s="41">
        <f t="shared" si="56"/>
        <v>0</v>
      </c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84"/>
      <c r="FZ231" s="84"/>
      <c r="GA231" s="84"/>
      <c r="GB231" s="84"/>
      <c r="GC231" s="84"/>
      <c r="GD231" s="84"/>
      <c r="GE231" s="84"/>
      <c r="GF231" s="84"/>
      <c r="GG231" s="84"/>
      <c r="GH231" s="84"/>
      <c r="GI231" s="84"/>
      <c r="GJ231" s="84"/>
      <c r="GK231" s="84"/>
      <c r="GL231" s="84"/>
      <c r="GM231" s="84"/>
      <c r="GN231" s="84"/>
      <c r="GO231" s="84"/>
      <c r="GP231" s="84"/>
      <c r="GQ231" s="84"/>
      <c r="GR231" s="84"/>
      <c r="GS231" s="84"/>
      <c r="GT231" s="84"/>
      <c r="GU231" s="84"/>
      <c r="GV231" s="84"/>
      <c r="GW231" s="84"/>
      <c r="GX231" s="84"/>
      <c r="GY231" s="84"/>
      <c r="GZ231" s="84"/>
      <c r="HA231" s="84"/>
      <c r="HB231" s="84"/>
      <c r="HC231" s="84"/>
      <c r="HD231" s="84"/>
      <c r="HE231" s="84"/>
      <c r="HF231" s="84"/>
      <c r="HG231" s="84"/>
      <c r="HH231" s="84"/>
      <c r="HI231" s="84"/>
      <c r="HJ231" s="84"/>
      <c r="HK231" s="84"/>
      <c r="HL231" s="84"/>
      <c r="HM231" s="84"/>
      <c r="HN231" s="84"/>
      <c r="HO231" s="84"/>
      <c r="HP231" s="84"/>
      <c r="HQ231" s="84"/>
      <c r="HR231" s="84"/>
      <c r="HS231" s="84"/>
      <c r="HT231" s="84"/>
      <c r="HU231" s="84"/>
      <c r="HV231" s="84"/>
      <c r="HW231" s="84"/>
      <c r="HX231" s="84"/>
      <c r="HY231" s="84"/>
      <c r="HZ231" s="84"/>
      <c r="IA231" s="84"/>
      <c r="IB231" s="84"/>
      <c r="IC231" s="84"/>
      <c r="ID231" s="84"/>
      <c r="IE231" s="84"/>
      <c r="IF231" s="84"/>
      <c r="IG231" s="84"/>
      <c r="IH231" s="84"/>
      <c r="II231" s="84"/>
      <c r="IJ231" s="84"/>
    </row>
    <row r="232" spans="1:244" ht="25.5" x14ac:dyDescent="0.2">
      <c r="A232" s="84"/>
      <c r="B232" s="85" t="s">
        <v>157</v>
      </c>
      <c r="C232" s="41" t="s">
        <v>55</v>
      </c>
      <c r="D232" s="41">
        <f>2</f>
        <v>2</v>
      </c>
      <c r="E232" s="45">
        <f>ROUND(PI()/2*114/1000*7.57,2)</f>
        <v>1.36</v>
      </c>
      <c r="F232" s="41">
        <f t="shared" si="53"/>
        <v>2.72</v>
      </c>
      <c r="G232" s="41" t="s">
        <v>55</v>
      </c>
      <c r="H232" s="75"/>
      <c r="I232" s="75"/>
      <c r="J232" s="41">
        <f t="shared" si="54"/>
        <v>0</v>
      </c>
      <c r="K232" s="41">
        <f t="shared" si="55"/>
        <v>0</v>
      </c>
      <c r="L232" s="41">
        <f t="shared" si="56"/>
        <v>0</v>
      </c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84"/>
      <c r="GD232" s="84"/>
      <c r="GE232" s="84"/>
      <c r="GF232" s="84"/>
      <c r="GG232" s="84"/>
      <c r="GH232" s="84"/>
      <c r="GI232" s="84"/>
      <c r="GJ232" s="84"/>
      <c r="GK232" s="84"/>
      <c r="GL232" s="84"/>
      <c r="GM232" s="84"/>
      <c r="GN232" s="84"/>
      <c r="GO232" s="84"/>
      <c r="GP232" s="84"/>
      <c r="GQ232" s="84"/>
      <c r="GR232" s="84"/>
      <c r="GS232" s="84"/>
      <c r="GT232" s="84"/>
      <c r="GU232" s="84"/>
      <c r="GV232" s="84"/>
      <c r="GW232" s="84"/>
      <c r="GX232" s="84"/>
      <c r="GY232" s="84"/>
      <c r="GZ232" s="84"/>
      <c r="HA232" s="84"/>
      <c r="HB232" s="84"/>
      <c r="HC232" s="84"/>
      <c r="HD232" s="84"/>
      <c r="HE232" s="84"/>
      <c r="HF232" s="84"/>
      <c r="HG232" s="84"/>
      <c r="HH232" s="84"/>
      <c r="HI232" s="84"/>
      <c r="HJ232" s="84"/>
      <c r="HK232" s="84"/>
      <c r="HL232" s="84"/>
      <c r="HM232" s="84"/>
      <c r="HN232" s="84"/>
      <c r="HO232" s="84"/>
      <c r="HP232" s="84"/>
      <c r="HQ232" s="84"/>
      <c r="HR232" s="84"/>
      <c r="HS232" s="84"/>
      <c r="HT232" s="84"/>
      <c r="HU232" s="84"/>
      <c r="HV232" s="84"/>
      <c r="HW232" s="84"/>
      <c r="HX232" s="84"/>
      <c r="HY232" s="84"/>
      <c r="HZ232" s="84"/>
      <c r="IA232" s="84"/>
      <c r="IB232" s="84"/>
      <c r="IC232" s="84"/>
      <c r="ID232" s="84"/>
      <c r="IE232" s="84"/>
      <c r="IF232" s="84"/>
      <c r="IG232" s="84"/>
      <c r="IH232" s="84"/>
      <c r="II232" s="84"/>
      <c r="IJ232" s="84"/>
    </row>
    <row r="233" spans="1:244" ht="25.5" x14ac:dyDescent="0.2">
      <c r="A233" s="84"/>
      <c r="B233" s="85" t="s">
        <v>120</v>
      </c>
      <c r="C233" s="41" t="s">
        <v>55</v>
      </c>
      <c r="D233" s="41">
        <f>3+4</f>
        <v>7</v>
      </c>
      <c r="E233" s="45">
        <f>ROUND(PI()/2*190/1000*15,2)</f>
        <v>4.4800000000000004</v>
      </c>
      <c r="F233" s="41">
        <f t="shared" si="53"/>
        <v>31.360000000000003</v>
      </c>
      <c r="G233" s="41" t="s">
        <v>55</v>
      </c>
      <c r="H233" s="75"/>
      <c r="I233" s="75"/>
      <c r="J233" s="41">
        <f t="shared" si="54"/>
        <v>0</v>
      </c>
      <c r="K233" s="41">
        <f t="shared" si="55"/>
        <v>0</v>
      </c>
      <c r="L233" s="41">
        <f t="shared" si="56"/>
        <v>0</v>
      </c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  <c r="FP233" s="84"/>
      <c r="FQ233" s="84"/>
      <c r="FR233" s="84"/>
      <c r="FS233" s="84"/>
      <c r="FT233" s="84"/>
      <c r="FU233" s="84"/>
      <c r="FV233" s="84"/>
      <c r="FW233" s="84"/>
      <c r="FX233" s="84"/>
      <c r="FY233" s="84"/>
      <c r="FZ233" s="84"/>
      <c r="GA233" s="84"/>
      <c r="GB233" s="84"/>
      <c r="GC233" s="84"/>
      <c r="GD233" s="84"/>
      <c r="GE233" s="84"/>
      <c r="GF233" s="84"/>
      <c r="GG233" s="84"/>
      <c r="GH233" s="84"/>
      <c r="GI233" s="84"/>
      <c r="GJ233" s="84"/>
      <c r="GK233" s="84"/>
      <c r="GL233" s="84"/>
      <c r="GM233" s="84"/>
      <c r="GN233" s="84"/>
      <c r="GO233" s="84"/>
      <c r="GP233" s="84"/>
      <c r="GQ233" s="84"/>
      <c r="GR233" s="84"/>
      <c r="GS233" s="84"/>
      <c r="GT233" s="84"/>
      <c r="GU233" s="84"/>
      <c r="GV233" s="84"/>
      <c r="GW233" s="84"/>
      <c r="GX233" s="84"/>
      <c r="GY233" s="84"/>
      <c r="GZ233" s="84"/>
      <c r="HA233" s="84"/>
      <c r="HB233" s="84"/>
      <c r="HC233" s="84"/>
      <c r="HD233" s="84"/>
      <c r="HE233" s="84"/>
      <c r="HF233" s="84"/>
      <c r="HG233" s="84"/>
      <c r="HH233" s="84"/>
      <c r="HI233" s="84"/>
      <c r="HJ233" s="84"/>
      <c r="HK233" s="84"/>
      <c r="HL233" s="84"/>
      <c r="HM233" s="84"/>
      <c r="HN233" s="84"/>
      <c r="HO233" s="84"/>
      <c r="HP233" s="84"/>
      <c r="HQ233" s="84"/>
      <c r="HR233" s="84"/>
      <c r="HS233" s="84"/>
      <c r="HT233" s="84"/>
      <c r="HU233" s="84"/>
      <c r="HV233" s="84"/>
      <c r="HW233" s="84"/>
      <c r="HX233" s="84"/>
      <c r="HY233" s="84"/>
      <c r="HZ233" s="84"/>
      <c r="IA233" s="84"/>
      <c r="IB233" s="84"/>
      <c r="IC233" s="84"/>
      <c r="ID233" s="84"/>
      <c r="IE233" s="84"/>
      <c r="IF233" s="84"/>
      <c r="IG233" s="84"/>
      <c r="IH233" s="84"/>
      <c r="II233" s="84"/>
      <c r="IJ233" s="84"/>
    </row>
    <row r="234" spans="1:244" s="81" customFormat="1" ht="25.5" x14ac:dyDescent="0.2">
      <c r="A234" s="84"/>
      <c r="B234" s="85" t="s">
        <v>122</v>
      </c>
      <c r="C234" s="41" t="s">
        <v>55</v>
      </c>
      <c r="D234" s="41">
        <f>2</f>
        <v>2</v>
      </c>
      <c r="E234" s="45">
        <f>ROUND(PI()/2*305/1000*33.1,2)</f>
        <v>15.86</v>
      </c>
      <c r="F234" s="41">
        <f t="shared" si="53"/>
        <v>31.72</v>
      </c>
      <c r="G234" s="41" t="s">
        <v>55</v>
      </c>
      <c r="H234" s="75"/>
      <c r="I234" s="75"/>
      <c r="J234" s="41">
        <f t="shared" si="54"/>
        <v>0</v>
      </c>
      <c r="K234" s="41">
        <f t="shared" si="55"/>
        <v>0</v>
      </c>
      <c r="L234" s="41">
        <f t="shared" si="56"/>
        <v>0</v>
      </c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  <c r="FP234" s="84"/>
      <c r="FQ234" s="84"/>
      <c r="FR234" s="84"/>
      <c r="FS234" s="84"/>
      <c r="FT234" s="84"/>
      <c r="FU234" s="84"/>
      <c r="FV234" s="84"/>
      <c r="FW234" s="84"/>
      <c r="FX234" s="84"/>
      <c r="FY234" s="84"/>
      <c r="FZ234" s="84"/>
      <c r="GA234" s="84"/>
      <c r="GB234" s="84"/>
      <c r="GC234" s="84"/>
      <c r="GD234" s="84"/>
      <c r="GE234" s="84"/>
      <c r="GF234" s="84"/>
      <c r="GG234" s="84"/>
      <c r="GH234" s="84"/>
      <c r="GI234" s="84"/>
      <c r="GJ234" s="84"/>
      <c r="GK234" s="84"/>
      <c r="GL234" s="84"/>
      <c r="GM234" s="84"/>
      <c r="GN234" s="84"/>
      <c r="GO234" s="84"/>
      <c r="GP234" s="84"/>
      <c r="GQ234" s="84"/>
      <c r="GR234" s="84"/>
      <c r="GS234" s="84"/>
      <c r="GT234" s="84"/>
      <c r="GU234" s="84"/>
      <c r="GV234" s="84"/>
      <c r="GW234" s="84"/>
      <c r="GX234" s="84"/>
      <c r="GY234" s="84"/>
      <c r="GZ234" s="84"/>
      <c r="HA234" s="84"/>
      <c r="HB234" s="84"/>
      <c r="HC234" s="84"/>
      <c r="HD234" s="84"/>
      <c r="HE234" s="84"/>
      <c r="HF234" s="84"/>
      <c r="HG234" s="84"/>
      <c r="HH234" s="84"/>
      <c r="HI234" s="84"/>
      <c r="HJ234" s="84"/>
      <c r="HK234" s="84"/>
      <c r="HL234" s="84"/>
      <c r="HM234" s="84"/>
      <c r="HN234" s="84"/>
      <c r="HO234" s="84"/>
      <c r="HP234" s="84"/>
      <c r="HQ234" s="84"/>
      <c r="HR234" s="84"/>
      <c r="HS234" s="84"/>
      <c r="HT234" s="84"/>
      <c r="HU234" s="84"/>
      <c r="HV234" s="84"/>
      <c r="HW234" s="84"/>
      <c r="HX234" s="84"/>
      <c r="HY234" s="84"/>
      <c r="HZ234" s="84"/>
      <c r="IA234" s="84"/>
      <c r="IB234" s="84"/>
      <c r="IC234" s="84"/>
      <c r="ID234" s="84"/>
      <c r="IE234" s="84"/>
      <c r="IF234" s="84"/>
      <c r="IG234" s="84"/>
      <c r="IH234" s="84"/>
      <c r="II234" s="84"/>
      <c r="IJ234" s="84"/>
    </row>
    <row r="235" spans="1:244" s="43" customFormat="1" ht="25.5" x14ac:dyDescent="0.2">
      <c r="A235" s="54"/>
      <c r="B235" s="44" t="s">
        <v>451</v>
      </c>
      <c r="C235" s="41" t="s">
        <v>55</v>
      </c>
      <c r="D235" s="41">
        <f>1</f>
        <v>1</v>
      </c>
      <c r="E235" s="45">
        <f>ROUND(38*3/1000*1.99,2)</f>
        <v>0.23</v>
      </c>
      <c r="F235" s="55">
        <f t="shared" si="53"/>
        <v>0.23</v>
      </c>
      <c r="G235" s="41" t="s">
        <v>55</v>
      </c>
      <c r="H235" s="41"/>
      <c r="I235" s="41"/>
      <c r="J235" s="41">
        <f t="shared" si="54"/>
        <v>0</v>
      </c>
      <c r="K235" s="41">
        <f t="shared" si="55"/>
        <v>0</v>
      </c>
      <c r="L235" s="41">
        <f t="shared" si="56"/>
        <v>0</v>
      </c>
    </row>
    <row r="236" spans="1:244" s="43" customFormat="1" ht="25.5" x14ac:dyDescent="0.2">
      <c r="A236" s="54"/>
      <c r="B236" s="44" t="s">
        <v>450</v>
      </c>
      <c r="C236" s="41" t="s">
        <v>55</v>
      </c>
      <c r="D236" s="41">
        <f>1</f>
        <v>1</v>
      </c>
      <c r="E236" s="45">
        <f>ROUND(64*3/1000*4.11,2)</f>
        <v>0.79</v>
      </c>
      <c r="F236" s="55">
        <f t="shared" si="53"/>
        <v>0.79</v>
      </c>
      <c r="G236" s="41" t="s">
        <v>55</v>
      </c>
      <c r="H236" s="41"/>
      <c r="I236" s="41"/>
      <c r="J236" s="41">
        <f t="shared" si="54"/>
        <v>0</v>
      </c>
      <c r="K236" s="41">
        <f t="shared" si="55"/>
        <v>0</v>
      </c>
      <c r="L236" s="41">
        <f t="shared" si="56"/>
        <v>0</v>
      </c>
    </row>
    <row r="237" spans="1:244" s="81" customFormat="1" ht="25.5" x14ac:dyDescent="0.2">
      <c r="A237" s="54"/>
      <c r="B237" s="44" t="s">
        <v>448</v>
      </c>
      <c r="C237" s="41" t="s">
        <v>55</v>
      </c>
      <c r="D237" s="41">
        <v>2</v>
      </c>
      <c r="E237" s="45">
        <f>ROUND(76*3/1000*5.75,2)</f>
        <v>1.31</v>
      </c>
      <c r="F237" s="55">
        <f>D237*E237</f>
        <v>2.62</v>
      </c>
      <c r="G237" s="41" t="s">
        <v>55</v>
      </c>
      <c r="H237" s="41"/>
      <c r="I237" s="41"/>
      <c r="J237" s="41">
        <f>$D237*H237</f>
        <v>0</v>
      </c>
      <c r="K237" s="41">
        <f t="shared" si="55"/>
        <v>0</v>
      </c>
      <c r="L237" s="41">
        <f>J237+K237</f>
        <v>0</v>
      </c>
    </row>
    <row r="238" spans="1:244" s="81" customFormat="1" ht="25.5" x14ac:dyDescent="0.2">
      <c r="A238" s="54"/>
      <c r="B238" s="44" t="s">
        <v>351</v>
      </c>
      <c r="C238" s="41" t="s">
        <v>55</v>
      </c>
      <c r="D238" s="41">
        <f>5</f>
        <v>5</v>
      </c>
      <c r="E238" s="45">
        <f>ROUND(76*3/1000*5.75,2)</f>
        <v>1.31</v>
      </c>
      <c r="F238" s="55">
        <f t="shared" si="53"/>
        <v>6.5500000000000007</v>
      </c>
      <c r="G238" s="41" t="s">
        <v>55</v>
      </c>
      <c r="H238" s="41"/>
      <c r="I238" s="41"/>
      <c r="J238" s="41">
        <f t="shared" si="54"/>
        <v>0</v>
      </c>
      <c r="K238" s="41">
        <f t="shared" si="55"/>
        <v>0</v>
      </c>
      <c r="L238" s="41">
        <f t="shared" si="56"/>
        <v>0</v>
      </c>
    </row>
    <row r="239" spans="1:244" s="43" customFormat="1" ht="38.25" x14ac:dyDescent="0.2">
      <c r="A239" s="54"/>
      <c r="B239" s="44" t="s">
        <v>449</v>
      </c>
      <c r="C239" s="41" t="s">
        <v>55</v>
      </c>
      <c r="D239" s="41">
        <f>1</f>
        <v>1</v>
      </c>
      <c r="E239" s="45">
        <f>ROUND(76/1000*4.1,2)</f>
        <v>0.31</v>
      </c>
      <c r="F239" s="55">
        <f t="shared" si="53"/>
        <v>0.31</v>
      </c>
      <c r="G239" s="41" t="s">
        <v>55</v>
      </c>
      <c r="H239" s="41"/>
      <c r="I239" s="41"/>
      <c r="J239" s="41">
        <f t="shared" si="54"/>
        <v>0</v>
      </c>
      <c r="K239" s="41">
        <f t="shared" si="55"/>
        <v>0</v>
      </c>
      <c r="L239" s="41">
        <f t="shared" si="56"/>
        <v>0</v>
      </c>
    </row>
    <row r="240" spans="1:244" s="81" customFormat="1" ht="38.25" x14ac:dyDescent="0.2">
      <c r="A240" s="54"/>
      <c r="B240" s="44" t="s">
        <v>263</v>
      </c>
      <c r="C240" s="41" t="s">
        <v>55</v>
      </c>
      <c r="D240" s="41">
        <f>2</f>
        <v>2</v>
      </c>
      <c r="E240" s="45">
        <f>ROUND(76/1000*4.1,2)</f>
        <v>0.31</v>
      </c>
      <c r="F240" s="55">
        <f t="shared" si="53"/>
        <v>0.62</v>
      </c>
      <c r="G240" s="41" t="s">
        <v>55</v>
      </c>
      <c r="H240" s="41"/>
      <c r="I240" s="41"/>
      <c r="J240" s="41">
        <f t="shared" si="54"/>
        <v>0</v>
      </c>
      <c r="K240" s="41">
        <f t="shared" si="55"/>
        <v>0</v>
      </c>
      <c r="L240" s="41">
        <f t="shared" si="56"/>
        <v>0</v>
      </c>
    </row>
    <row r="241" spans="1:244" s="81" customFormat="1" ht="38.25" x14ac:dyDescent="0.2">
      <c r="A241" s="54"/>
      <c r="B241" s="44" t="s">
        <v>173</v>
      </c>
      <c r="C241" s="41" t="s">
        <v>55</v>
      </c>
      <c r="D241" s="41">
        <f>2</f>
        <v>2</v>
      </c>
      <c r="E241" s="45">
        <f>ROUND(89/1000*5.75,2)</f>
        <v>0.51</v>
      </c>
      <c r="F241" s="55">
        <f t="shared" si="53"/>
        <v>1.02</v>
      </c>
      <c r="G241" s="41" t="s">
        <v>55</v>
      </c>
      <c r="H241" s="41"/>
      <c r="I241" s="41"/>
      <c r="J241" s="41">
        <f t="shared" si="54"/>
        <v>0</v>
      </c>
      <c r="K241" s="41">
        <f t="shared" si="55"/>
        <v>0</v>
      </c>
      <c r="L241" s="41">
        <f t="shared" si="56"/>
        <v>0</v>
      </c>
    </row>
    <row r="242" spans="1:244" s="81" customFormat="1" ht="38.25" x14ac:dyDescent="0.2">
      <c r="A242" s="54"/>
      <c r="B242" s="44" t="s">
        <v>121</v>
      </c>
      <c r="C242" s="41" t="s">
        <v>55</v>
      </c>
      <c r="D242" s="41">
        <f>1</f>
        <v>1</v>
      </c>
      <c r="E242" s="45">
        <f>ROUND(89/1000*5.75,2)</f>
        <v>0.51</v>
      </c>
      <c r="F242" s="55">
        <f t="shared" si="53"/>
        <v>0.51</v>
      </c>
      <c r="G242" s="41" t="s">
        <v>55</v>
      </c>
      <c r="H242" s="41"/>
      <c r="I242" s="41"/>
      <c r="J242" s="41">
        <f t="shared" si="54"/>
        <v>0</v>
      </c>
      <c r="K242" s="41">
        <f t="shared" si="55"/>
        <v>0</v>
      </c>
      <c r="L242" s="41">
        <f t="shared" si="56"/>
        <v>0</v>
      </c>
    </row>
    <row r="243" spans="1:244" s="81" customFormat="1" ht="38.25" x14ac:dyDescent="0.2">
      <c r="A243" s="54"/>
      <c r="B243" s="44" t="s">
        <v>159</v>
      </c>
      <c r="C243" s="41" t="s">
        <v>55</v>
      </c>
      <c r="D243" s="41">
        <f>2</f>
        <v>2</v>
      </c>
      <c r="E243" s="45">
        <f>ROUND(89/1000*7.57,2)</f>
        <v>0.67</v>
      </c>
      <c r="F243" s="55">
        <f t="shared" ref="F243:F252" si="57">D243*E243</f>
        <v>1.34</v>
      </c>
      <c r="G243" s="41" t="s">
        <v>55</v>
      </c>
      <c r="H243" s="41"/>
      <c r="I243" s="41"/>
      <c r="J243" s="41">
        <f t="shared" ref="J243:K252" si="58">$D243*H243</f>
        <v>0</v>
      </c>
      <c r="K243" s="41">
        <f t="shared" si="58"/>
        <v>0</v>
      </c>
      <c r="L243" s="41">
        <f t="shared" ref="L243:L252" si="59">J243+K243</f>
        <v>0</v>
      </c>
    </row>
    <row r="244" spans="1:244" s="81" customFormat="1" ht="25.5" x14ac:dyDescent="0.2">
      <c r="A244" s="54"/>
      <c r="B244" s="44" t="s">
        <v>344</v>
      </c>
      <c r="C244" s="41" t="s">
        <v>55</v>
      </c>
      <c r="D244" s="41">
        <f>1</f>
        <v>1</v>
      </c>
      <c r="E244" s="45">
        <f>ROUND(11*2/1000*1.99,2)</f>
        <v>0.04</v>
      </c>
      <c r="F244" s="55">
        <f t="shared" si="57"/>
        <v>0.04</v>
      </c>
      <c r="G244" s="41" t="s">
        <v>55</v>
      </c>
      <c r="H244" s="41"/>
      <c r="I244" s="41"/>
      <c r="J244" s="41">
        <f t="shared" si="58"/>
        <v>0</v>
      </c>
      <c r="K244" s="41">
        <f t="shared" si="58"/>
        <v>0</v>
      </c>
      <c r="L244" s="41">
        <f t="shared" si="59"/>
        <v>0</v>
      </c>
    </row>
    <row r="245" spans="1:244" s="81" customFormat="1" ht="25.5" x14ac:dyDescent="0.2">
      <c r="A245" s="54"/>
      <c r="B245" s="44" t="s">
        <v>346</v>
      </c>
      <c r="C245" s="41" t="s">
        <v>55</v>
      </c>
      <c r="D245" s="41">
        <f>1</f>
        <v>1</v>
      </c>
      <c r="E245" s="45">
        <f>ROUND(18.5*2/1000*5.75,2)</f>
        <v>0.21</v>
      </c>
      <c r="F245" s="55">
        <f t="shared" si="57"/>
        <v>0.21</v>
      </c>
      <c r="G245" s="41" t="s">
        <v>55</v>
      </c>
      <c r="H245" s="41"/>
      <c r="I245" s="41"/>
      <c r="J245" s="41">
        <f t="shared" si="58"/>
        <v>0</v>
      </c>
      <c r="K245" s="41">
        <f t="shared" si="58"/>
        <v>0</v>
      </c>
      <c r="L245" s="41">
        <f t="shared" si="59"/>
        <v>0</v>
      </c>
    </row>
    <row r="246" spans="1:244" ht="25.5" x14ac:dyDescent="0.2">
      <c r="A246" s="54"/>
      <c r="B246" s="44" t="s">
        <v>352</v>
      </c>
      <c r="C246" s="41" t="s">
        <v>55</v>
      </c>
      <c r="D246" s="41">
        <f>1</f>
        <v>1</v>
      </c>
      <c r="E246" s="45">
        <f>ROUND(26*2/1000*10.9,2)</f>
        <v>0.56999999999999995</v>
      </c>
      <c r="F246" s="55">
        <f t="shared" si="57"/>
        <v>0.56999999999999995</v>
      </c>
      <c r="G246" s="41" t="s">
        <v>55</v>
      </c>
      <c r="H246" s="41"/>
      <c r="I246" s="41"/>
      <c r="J246" s="41">
        <f t="shared" si="58"/>
        <v>0</v>
      </c>
      <c r="K246" s="41">
        <f t="shared" si="58"/>
        <v>0</v>
      </c>
      <c r="L246" s="41">
        <f t="shared" si="59"/>
        <v>0</v>
      </c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  <c r="EK246" s="81"/>
      <c r="EL246" s="81"/>
      <c r="EM246" s="81"/>
      <c r="EN246" s="81"/>
      <c r="EO246" s="81"/>
      <c r="EP246" s="81"/>
      <c r="EQ246" s="81"/>
      <c r="ER246" s="81"/>
      <c r="ES246" s="81"/>
      <c r="ET246" s="81"/>
      <c r="EU246" s="81"/>
      <c r="EV246" s="81"/>
      <c r="EW246" s="81"/>
      <c r="EX246" s="81"/>
      <c r="EY246" s="81"/>
      <c r="EZ246" s="81"/>
      <c r="FA246" s="81"/>
      <c r="FB246" s="81"/>
      <c r="FC246" s="81"/>
      <c r="FD246" s="81"/>
      <c r="FE246" s="81"/>
      <c r="FF246" s="81"/>
      <c r="FG246" s="81"/>
      <c r="FH246" s="81"/>
      <c r="FI246" s="81"/>
      <c r="FJ246" s="81"/>
      <c r="FK246" s="81"/>
      <c r="FL246" s="81"/>
      <c r="FM246" s="81"/>
      <c r="FN246" s="81"/>
      <c r="FO246" s="81"/>
      <c r="FP246" s="81"/>
      <c r="FQ246" s="81"/>
      <c r="FR246" s="81"/>
      <c r="FS246" s="81"/>
      <c r="FT246" s="81"/>
      <c r="FU246" s="81"/>
      <c r="FV246" s="81"/>
      <c r="FW246" s="81"/>
      <c r="FX246" s="81"/>
      <c r="FY246" s="81"/>
      <c r="FZ246" s="81"/>
      <c r="GA246" s="81"/>
      <c r="GB246" s="81"/>
      <c r="GC246" s="81"/>
      <c r="GD246" s="81"/>
      <c r="GE246" s="81"/>
      <c r="GF246" s="81"/>
      <c r="GG246" s="81"/>
      <c r="GH246" s="81"/>
      <c r="GI246" s="81"/>
      <c r="GJ246" s="81"/>
      <c r="GK246" s="81"/>
      <c r="GL246" s="81"/>
      <c r="GM246" s="81"/>
      <c r="GN246" s="81"/>
      <c r="GO246" s="81"/>
      <c r="GP246" s="81"/>
      <c r="GQ246" s="81"/>
      <c r="GR246" s="81"/>
      <c r="GS246" s="81"/>
      <c r="GT246" s="81"/>
      <c r="GU246" s="81"/>
      <c r="GV246" s="81"/>
      <c r="GW246" s="81"/>
      <c r="GX246" s="81"/>
      <c r="GY246" s="81"/>
      <c r="GZ246" s="81"/>
      <c r="HA246" s="81"/>
      <c r="HB246" s="81"/>
      <c r="HC246" s="81"/>
      <c r="HD246" s="81"/>
      <c r="HE246" s="81"/>
      <c r="HF246" s="81"/>
      <c r="HG246" s="81"/>
      <c r="HH246" s="81"/>
      <c r="HI246" s="81"/>
      <c r="HJ246" s="81"/>
      <c r="HK246" s="81"/>
      <c r="HL246" s="81"/>
      <c r="HM246" s="81"/>
      <c r="HN246" s="81"/>
      <c r="HO246" s="81"/>
      <c r="HP246" s="81"/>
      <c r="HQ246" s="81"/>
      <c r="HR246" s="81"/>
      <c r="HS246" s="81"/>
      <c r="HT246" s="81"/>
      <c r="HU246" s="81"/>
      <c r="HV246" s="81"/>
      <c r="HW246" s="81"/>
      <c r="HX246" s="81"/>
      <c r="HY246" s="81"/>
      <c r="HZ246" s="81"/>
      <c r="IA246" s="81"/>
      <c r="IB246" s="81"/>
      <c r="IC246" s="81"/>
      <c r="ID246" s="81"/>
      <c r="IE246" s="81"/>
      <c r="IF246" s="81"/>
      <c r="IG246" s="81"/>
      <c r="IH246" s="81"/>
      <c r="II246" s="81"/>
      <c r="IJ246" s="81"/>
    </row>
    <row r="247" spans="1:244" ht="25.5" x14ac:dyDescent="0.2">
      <c r="A247" s="54"/>
      <c r="B247" s="44" t="s">
        <v>348</v>
      </c>
      <c r="C247" s="41" t="s">
        <v>55</v>
      </c>
      <c r="D247" s="41">
        <f>2</f>
        <v>2</v>
      </c>
      <c r="E247" s="45">
        <f>ROUND(35.5*2/1000*15,2)</f>
        <v>1.07</v>
      </c>
      <c r="F247" s="55">
        <f t="shared" si="57"/>
        <v>2.14</v>
      </c>
      <c r="G247" s="41" t="s">
        <v>55</v>
      </c>
      <c r="H247" s="41"/>
      <c r="I247" s="41"/>
      <c r="J247" s="41">
        <f t="shared" si="58"/>
        <v>0</v>
      </c>
      <c r="K247" s="41">
        <f t="shared" si="58"/>
        <v>0</v>
      </c>
      <c r="L247" s="41">
        <f t="shared" si="59"/>
        <v>0</v>
      </c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  <c r="DK247" s="81"/>
      <c r="DL247" s="81"/>
      <c r="DM247" s="81"/>
      <c r="DN247" s="81"/>
      <c r="DO247" s="81"/>
      <c r="DP247" s="81"/>
      <c r="DQ247" s="81"/>
      <c r="DR247" s="81"/>
      <c r="DS247" s="81"/>
      <c r="DT247" s="81"/>
      <c r="DU247" s="81"/>
      <c r="DV247" s="81"/>
      <c r="DW247" s="81"/>
      <c r="DX247" s="81"/>
      <c r="DY247" s="81"/>
      <c r="DZ247" s="81"/>
      <c r="EA247" s="81"/>
      <c r="EB247" s="81"/>
      <c r="EC247" s="81"/>
      <c r="ED247" s="81"/>
      <c r="EE247" s="81"/>
      <c r="EF247" s="81"/>
      <c r="EG247" s="81"/>
      <c r="EH247" s="81"/>
      <c r="EI247" s="81"/>
      <c r="EJ247" s="81"/>
      <c r="EK247" s="81"/>
      <c r="EL247" s="81"/>
      <c r="EM247" s="81"/>
      <c r="EN247" s="81"/>
      <c r="EO247" s="81"/>
      <c r="EP247" s="81"/>
      <c r="EQ247" s="81"/>
      <c r="ER247" s="81"/>
      <c r="ES247" s="81"/>
      <c r="ET247" s="81"/>
      <c r="EU247" s="81"/>
      <c r="EV247" s="81"/>
      <c r="EW247" s="81"/>
      <c r="EX247" s="81"/>
      <c r="EY247" s="81"/>
      <c r="EZ247" s="81"/>
      <c r="FA247" s="81"/>
      <c r="FB247" s="81"/>
      <c r="FC247" s="81"/>
      <c r="FD247" s="81"/>
      <c r="FE247" s="81"/>
      <c r="FF247" s="81"/>
      <c r="FG247" s="81"/>
      <c r="FH247" s="81"/>
      <c r="FI247" s="81"/>
      <c r="FJ247" s="81"/>
      <c r="FK247" s="81"/>
      <c r="FL247" s="81"/>
      <c r="FM247" s="81"/>
      <c r="FN247" s="81"/>
      <c r="FO247" s="81"/>
      <c r="FP247" s="81"/>
      <c r="FQ247" s="81"/>
      <c r="FR247" s="81"/>
      <c r="FS247" s="81"/>
      <c r="FT247" s="81"/>
      <c r="FU247" s="81"/>
      <c r="FV247" s="81"/>
      <c r="FW247" s="81"/>
      <c r="FX247" s="81"/>
      <c r="FY247" s="81"/>
      <c r="FZ247" s="81"/>
      <c r="GA247" s="81"/>
      <c r="GB247" s="81"/>
      <c r="GC247" s="81"/>
      <c r="GD247" s="81"/>
      <c r="GE247" s="81"/>
      <c r="GF247" s="81"/>
      <c r="GG247" s="81"/>
      <c r="GH247" s="81"/>
      <c r="GI247" s="81"/>
      <c r="GJ247" s="81"/>
      <c r="GK247" s="81"/>
      <c r="GL247" s="81"/>
      <c r="GM247" s="81"/>
      <c r="GN247" s="81"/>
      <c r="GO247" s="81"/>
      <c r="GP247" s="81"/>
      <c r="GQ247" s="81"/>
      <c r="GR247" s="81"/>
      <c r="GS247" s="81"/>
      <c r="GT247" s="81"/>
      <c r="GU247" s="81"/>
      <c r="GV247" s="81"/>
      <c r="GW247" s="81"/>
      <c r="GX247" s="81"/>
      <c r="GY247" s="81"/>
      <c r="GZ247" s="81"/>
      <c r="HA247" s="81"/>
      <c r="HB247" s="81"/>
      <c r="HC247" s="81"/>
      <c r="HD247" s="81"/>
      <c r="HE247" s="81"/>
      <c r="HF247" s="81"/>
      <c r="HG247" s="81"/>
      <c r="HH247" s="81"/>
      <c r="HI247" s="81"/>
      <c r="HJ247" s="81"/>
      <c r="HK247" s="81"/>
      <c r="HL247" s="81"/>
      <c r="HM247" s="81"/>
      <c r="HN247" s="81"/>
      <c r="HO247" s="81"/>
      <c r="HP247" s="81"/>
      <c r="HQ247" s="81"/>
      <c r="HR247" s="81"/>
      <c r="HS247" s="81"/>
      <c r="HT247" s="81"/>
      <c r="HU247" s="81"/>
      <c r="HV247" s="81"/>
      <c r="HW247" s="81"/>
      <c r="HX247" s="81"/>
      <c r="HY247" s="81"/>
      <c r="HZ247" s="81"/>
      <c r="IA247" s="81"/>
      <c r="IB247" s="81"/>
      <c r="IC247" s="81"/>
      <c r="ID247" s="81"/>
      <c r="IE247" s="81"/>
      <c r="IF247" s="81"/>
      <c r="IG247" s="81"/>
      <c r="IH247" s="81"/>
      <c r="II247" s="81"/>
      <c r="IJ247" s="81"/>
    </row>
    <row r="248" spans="1:244" ht="25.5" x14ac:dyDescent="0.2">
      <c r="A248" s="54"/>
      <c r="B248" s="44" t="s">
        <v>353</v>
      </c>
      <c r="C248" s="41" t="s">
        <v>55</v>
      </c>
      <c r="D248" s="41">
        <f>1</f>
        <v>1</v>
      </c>
      <c r="E248" s="45">
        <f>ROUND(68.5*2/1000*33.1,2)</f>
        <v>4.53</v>
      </c>
      <c r="F248" s="55">
        <f t="shared" si="57"/>
        <v>4.53</v>
      </c>
      <c r="G248" s="41" t="s">
        <v>55</v>
      </c>
      <c r="H248" s="41"/>
      <c r="I248" s="41"/>
      <c r="J248" s="41">
        <f t="shared" si="58"/>
        <v>0</v>
      </c>
      <c r="K248" s="41">
        <f t="shared" si="58"/>
        <v>0</v>
      </c>
      <c r="L248" s="41">
        <f t="shared" si="59"/>
        <v>0</v>
      </c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  <c r="DK248" s="81"/>
      <c r="DL248" s="81"/>
      <c r="DM248" s="81"/>
      <c r="DN248" s="81"/>
      <c r="DO248" s="81"/>
      <c r="DP248" s="81"/>
      <c r="DQ248" s="81"/>
      <c r="DR248" s="81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1"/>
      <c r="EI248" s="81"/>
      <c r="EJ248" s="81"/>
      <c r="EK248" s="81"/>
      <c r="EL248" s="81"/>
      <c r="EM248" s="81"/>
      <c r="EN248" s="81"/>
      <c r="EO248" s="81"/>
      <c r="EP248" s="81"/>
      <c r="EQ248" s="81"/>
      <c r="ER248" s="81"/>
      <c r="ES248" s="81"/>
      <c r="ET248" s="81"/>
      <c r="EU248" s="81"/>
      <c r="EV248" s="81"/>
      <c r="EW248" s="81"/>
      <c r="EX248" s="81"/>
      <c r="EY248" s="81"/>
      <c r="EZ248" s="81"/>
      <c r="FA248" s="81"/>
      <c r="FB248" s="81"/>
      <c r="FC248" s="81"/>
      <c r="FD248" s="81"/>
      <c r="FE248" s="81"/>
      <c r="FF248" s="81"/>
      <c r="FG248" s="81"/>
      <c r="FH248" s="81"/>
      <c r="FI248" s="81"/>
      <c r="FJ248" s="81"/>
      <c r="FK248" s="81"/>
      <c r="FL248" s="81"/>
      <c r="FM248" s="81"/>
      <c r="FN248" s="81"/>
      <c r="FO248" s="81"/>
      <c r="FP248" s="81"/>
      <c r="FQ248" s="81"/>
      <c r="FR248" s="81"/>
      <c r="FS248" s="81"/>
      <c r="FT248" s="81"/>
      <c r="FU248" s="81"/>
      <c r="FV248" s="81"/>
      <c r="FW248" s="81"/>
      <c r="FX248" s="81"/>
      <c r="FY248" s="81"/>
      <c r="FZ248" s="81"/>
      <c r="GA248" s="81"/>
      <c r="GB248" s="81"/>
      <c r="GC248" s="81"/>
      <c r="GD248" s="81"/>
      <c r="GE248" s="81"/>
      <c r="GF248" s="81"/>
      <c r="GG248" s="81"/>
      <c r="GH248" s="81"/>
      <c r="GI248" s="81"/>
      <c r="GJ248" s="81"/>
      <c r="GK248" s="81"/>
      <c r="GL248" s="81"/>
      <c r="GM248" s="81"/>
      <c r="GN248" s="81"/>
      <c r="GO248" s="81"/>
      <c r="GP248" s="81"/>
      <c r="GQ248" s="81"/>
      <c r="GR248" s="81"/>
      <c r="GS248" s="81"/>
      <c r="GT248" s="81"/>
      <c r="GU248" s="81"/>
      <c r="GV248" s="81"/>
      <c r="GW248" s="81"/>
      <c r="GX248" s="81"/>
      <c r="GY248" s="81"/>
      <c r="GZ248" s="81"/>
      <c r="HA248" s="81"/>
      <c r="HB248" s="81"/>
      <c r="HC248" s="81"/>
      <c r="HD248" s="81"/>
      <c r="HE248" s="81"/>
      <c r="HF248" s="81"/>
      <c r="HG248" s="81"/>
      <c r="HH248" s="81"/>
      <c r="HI248" s="81"/>
      <c r="HJ248" s="81"/>
      <c r="HK248" s="81"/>
      <c r="HL248" s="81"/>
      <c r="HM248" s="81"/>
      <c r="HN248" s="81"/>
      <c r="HO248" s="81"/>
      <c r="HP248" s="81"/>
      <c r="HQ248" s="81"/>
      <c r="HR248" s="81"/>
      <c r="HS248" s="81"/>
      <c r="HT248" s="81"/>
      <c r="HU248" s="81"/>
      <c r="HV248" s="81"/>
      <c r="HW248" s="81"/>
      <c r="HX248" s="81"/>
      <c r="HY248" s="81"/>
      <c r="HZ248" s="81"/>
      <c r="IA248" s="81"/>
      <c r="IB248" s="81"/>
      <c r="IC248" s="81"/>
      <c r="ID248" s="81"/>
      <c r="IE248" s="81"/>
      <c r="IF248" s="81"/>
      <c r="IG248" s="81"/>
      <c r="IH248" s="81"/>
      <c r="II248" s="81"/>
      <c r="IJ248" s="81"/>
    </row>
    <row r="249" spans="1:244" s="43" customFormat="1" ht="25.5" x14ac:dyDescent="0.2">
      <c r="A249" s="54"/>
      <c r="B249" s="44" t="s">
        <v>162</v>
      </c>
      <c r="C249" s="41" t="s">
        <v>55</v>
      </c>
      <c r="D249" s="41">
        <v>1</v>
      </c>
      <c r="E249" s="45">
        <v>0.78</v>
      </c>
      <c r="F249" s="55">
        <f>D249*E249</f>
        <v>0.78</v>
      </c>
      <c r="G249" s="41" t="s">
        <v>55</v>
      </c>
      <c r="H249" s="41"/>
      <c r="I249" s="41"/>
      <c r="J249" s="41">
        <f>$D249*H249</f>
        <v>0</v>
      </c>
      <c r="K249" s="41">
        <f t="shared" si="58"/>
        <v>0</v>
      </c>
      <c r="L249" s="41">
        <f>J249+K249</f>
        <v>0</v>
      </c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  <c r="DT249" s="81"/>
      <c r="DU249" s="81"/>
      <c r="DV249" s="81"/>
      <c r="DW249" s="81"/>
      <c r="DX249" s="81"/>
      <c r="DY249" s="81"/>
      <c r="DZ249" s="81"/>
      <c r="EA249" s="81"/>
      <c r="EB249" s="81"/>
      <c r="EC249" s="81"/>
      <c r="ED249" s="81"/>
      <c r="EE249" s="81"/>
      <c r="EF249" s="81"/>
      <c r="EG249" s="81"/>
      <c r="EH249" s="81"/>
      <c r="EI249" s="81"/>
      <c r="EJ249" s="81"/>
      <c r="EK249" s="81"/>
      <c r="EL249" s="81"/>
      <c r="EM249" s="81"/>
      <c r="EN249" s="81"/>
      <c r="EO249" s="81"/>
      <c r="EP249" s="81"/>
      <c r="EQ249" s="81"/>
      <c r="ER249" s="81"/>
      <c r="ES249" s="81"/>
      <c r="ET249" s="81"/>
      <c r="EU249" s="81"/>
      <c r="EV249" s="81"/>
      <c r="EW249" s="81"/>
      <c r="EX249" s="81"/>
      <c r="EY249" s="81"/>
      <c r="EZ249" s="81"/>
      <c r="FA249" s="81"/>
      <c r="FB249" s="81"/>
      <c r="FC249" s="81"/>
      <c r="FD249" s="81"/>
      <c r="FE249" s="81"/>
      <c r="FF249" s="81"/>
      <c r="FG249" s="81"/>
      <c r="FH249" s="81"/>
      <c r="FI249" s="81"/>
      <c r="FJ249" s="81"/>
      <c r="FK249" s="81"/>
      <c r="FL249" s="81"/>
      <c r="FM249" s="81"/>
      <c r="FN249" s="81"/>
      <c r="FO249" s="81"/>
      <c r="FP249" s="81"/>
      <c r="FQ249" s="81"/>
      <c r="FR249" s="81"/>
      <c r="FS249" s="81"/>
      <c r="FT249" s="81"/>
      <c r="FU249" s="81"/>
      <c r="FV249" s="81"/>
      <c r="FW249" s="81"/>
      <c r="FX249" s="81"/>
      <c r="FY249" s="81"/>
      <c r="FZ249" s="81"/>
      <c r="GA249" s="81"/>
      <c r="GB249" s="81"/>
      <c r="GC249" s="81"/>
      <c r="GD249" s="81"/>
      <c r="GE249" s="81"/>
      <c r="GF249" s="81"/>
      <c r="GG249" s="81"/>
      <c r="GH249" s="81"/>
      <c r="GI249" s="81"/>
      <c r="GJ249" s="81"/>
      <c r="GK249" s="81"/>
      <c r="GL249" s="81"/>
      <c r="GM249" s="81"/>
      <c r="GN249" s="81"/>
      <c r="GO249" s="81"/>
      <c r="GP249" s="81"/>
      <c r="GQ249" s="81"/>
      <c r="GR249" s="81"/>
      <c r="GS249" s="81"/>
      <c r="GT249" s="81"/>
      <c r="GU249" s="81"/>
      <c r="GV249" s="81"/>
      <c r="GW249" s="81"/>
      <c r="GX249" s="81"/>
      <c r="GY249" s="81"/>
      <c r="GZ249" s="81"/>
      <c r="HA249" s="81"/>
      <c r="HB249" s="81"/>
      <c r="HC249" s="81"/>
      <c r="HD249" s="81"/>
      <c r="HE249" s="81"/>
      <c r="HF249" s="81"/>
      <c r="HG249" s="81"/>
      <c r="HH249" s="81"/>
      <c r="HI249" s="81"/>
      <c r="HJ249" s="81"/>
      <c r="HK249" s="81"/>
      <c r="HL249" s="81"/>
      <c r="HM249" s="81"/>
      <c r="HN249" s="81"/>
      <c r="HO249" s="81"/>
      <c r="HP249" s="81"/>
      <c r="HQ249" s="81"/>
      <c r="HR249" s="81"/>
      <c r="HS249" s="81"/>
      <c r="HT249" s="81"/>
      <c r="HU249" s="81"/>
      <c r="HV249" s="81"/>
      <c r="HW249" s="81"/>
      <c r="HX249" s="81"/>
      <c r="HY249" s="81"/>
      <c r="HZ249" s="81"/>
      <c r="IA249" s="81"/>
      <c r="IB249" s="81"/>
      <c r="IC249" s="81"/>
      <c r="ID249" s="81"/>
      <c r="IE249" s="81"/>
      <c r="IF249" s="81"/>
      <c r="IG249" s="81"/>
      <c r="IH249" s="81"/>
      <c r="II249" s="81"/>
      <c r="IJ249" s="81"/>
    </row>
    <row r="250" spans="1:244" ht="38.25" x14ac:dyDescent="0.2">
      <c r="A250" s="54"/>
      <c r="B250" s="44" t="s">
        <v>163</v>
      </c>
      <c r="C250" s="41" t="s">
        <v>55</v>
      </c>
      <c r="D250" s="41">
        <v>1</v>
      </c>
      <c r="E250" s="45">
        <v>0.78</v>
      </c>
      <c r="F250" s="55">
        <f>D250*E250</f>
        <v>0.78</v>
      </c>
      <c r="G250" s="41" t="s">
        <v>55</v>
      </c>
      <c r="H250" s="41"/>
      <c r="I250" s="41"/>
      <c r="J250" s="41">
        <f t="shared" si="58"/>
        <v>0</v>
      </c>
      <c r="K250" s="41">
        <f t="shared" si="58"/>
        <v>0</v>
      </c>
      <c r="L250" s="41">
        <f t="shared" si="59"/>
        <v>0</v>
      </c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  <c r="DK250" s="81"/>
      <c r="DL250" s="81"/>
      <c r="DM250" s="81"/>
      <c r="DN250" s="81"/>
      <c r="DO250" s="81"/>
      <c r="DP250" s="81"/>
      <c r="DQ250" s="81"/>
      <c r="DR250" s="81"/>
      <c r="DS250" s="81"/>
      <c r="DT250" s="81"/>
      <c r="DU250" s="81"/>
      <c r="DV250" s="81"/>
      <c r="DW250" s="81"/>
      <c r="DX250" s="81"/>
      <c r="DY250" s="81"/>
      <c r="DZ250" s="81"/>
      <c r="EA250" s="81"/>
      <c r="EB250" s="81"/>
      <c r="EC250" s="81"/>
      <c r="ED250" s="81"/>
      <c r="EE250" s="81"/>
      <c r="EF250" s="81"/>
      <c r="EG250" s="81"/>
      <c r="EH250" s="81"/>
      <c r="EI250" s="81"/>
      <c r="EJ250" s="81"/>
      <c r="EK250" s="81"/>
      <c r="EL250" s="81"/>
      <c r="EM250" s="81"/>
      <c r="EN250" s="81"/>
      <c r="EO250" s="81"/>
      <c r="EP250" s="81"/>
      <c r="EQ250" s="81"/>
      <c r="ER250" s="81"/>
      <c r="ES250" s="81"/>
      <c r="ET250" s="81"/>
      <c r="EU250" s="81"/>
      <c r="EV250" s="81"/>
      <c r="EW250" s="81"/>
      <c r="EX250" s="81"/>
      <c r="EY250" s="81"/>
      <c r="EZ250" s="81"/>
      <c r="FA250" s="81"/>
      <c r="FB250" s="81"/>
      <c r="FC250" s="81"/>
      <c r="FD250" s="81"/>
      <c r="FE250" s="81"/>
      <c r="FF250" s="81"/>
      <c r="FG250" s="81"/>
      <c r="FH250" s="81"/>
      <c r="FI250" s="81"/>
      <c r="FJ250" s="81"/>
      <c r="FK250" s="81"/>
      <c r="FL250" s="81"/>
      <c r="FM250" s="81"/>
      <c r="FN250" s="81"/>
      <c r="FO250" s="81"/>
      <c r="FP250" s="81"/>
      <c r="FQ250" s="81"/>
      <c r="FR250" s="81"/>
      <c r="FS250" s="81"/>
      <c r="FT250" s="81"/>
      <c r="FU250" s="81"/>
      <c r="FV250" s="81"/>
      <c r="FW250" s="81"/>
      <c r="FX250" s="81"/>
      <c r="FY250" s="81"/>
      <c r="FZ250" s="81"/>
      <c r="GA250" s="81"/>
      <c r="GB250" s="81"/>
      <c r="GC250" s="81"/>
      <c r="GD250" s="81"/>
      <c r="GE250" s="81"/>
      <c r="GF250" s="81"/>
      <c r="GG250" s="81"/>
      <c r="GH250" s="81"/>
      <c r="GI250" s="81"/>
      <c r="GJ250" s="81"/>
      <c r="GK250" s="81"/>
      <c r="GL250" s="81"/>
      <c r="GM250" s="81"/>
      <c r="GN250" s="81"/>
      <c r="GO250" s="81"/>
      <c r="GP250" s="81"/>
      <c r="GQ250" s="81"/>
      <c r="GR250" s="81"/>
      <c r="GS250" s="81"/>
      <c r="GT250" s="81"/>
      <c r="GU250" s="81"/>
      <c r="GV250" s="81"/>
      <c r="GW250" s="81"/>
      <c r="GX250" s="81"/>
      <c r="GY250" s="81"/>
      <c r="GZ250" s="81"/>
      <c r="HA250" s="81"/>
      <c r="HB250" s="81"/>
      <c r="HC250" s="81"/>
      <c r="HD250" s="81"/>
      <c r="HE250" s="81"/>
      <c r="HF250" s="81"/>
      <c r="HG250" s="81"/>
      <c r="HH250" s="81"/>
      <c r="HI250" s="81"/>
      <c r="HJ250" s="81"/>
      <c r="HK250" s="81"/>
      <c r="HL250" s="81"/>
      <c r="HM250" s="81"/>
      <c r="HN250" s="81"/>
      <c r="HO250" s="81"/>
      <c r="HP250" s="81"/>
      <c r="HQ250" s="81"/>
      <c r="HR250" s="81"/>
      <c r="HS250" s="81"/>
      <c r="HT250" s="81"/>
      <c r="HU250" s="81"/>
      <c r="HV250" s="81"/>
      <c r="HW250" s="81"/>
      <c r="HX250" s="81"/>
      <c r="HY250" s="81"/>
      <c r="HZ250" s="81"/>
      <c r="IA250" s="81"/>
      <c r="IB250" s="81"/>
      <c r="IC250" s="81"/>
      <c r="ID250" s="81"/>
      <c r="IE250" s="81"/>
      <c r="IF250" s="81"/>
      <c r="IG250" s="81"/>
      <c r="IH250" s="81"/>
      <c r="II250" s="81"/>
      <c r="IJ250" s="81"/>
    </row>
    <row r="251" spans="1:244" s="66" customFormat="1" ht="25.5" x14ac:dyDescent="0.2">
      <c r="A251" s="54"/>
      <c r="B251" s="44" t="s">
        <v>160</v>
      </c>
      <c r="C251" s="41" t="s">
        <v>55</v>
      </c>
      <c r="D251" s="41">
        <f>1</f>
        <v>1</v>
      </c>
      <c r="E251" s="45">
        <v>6.28</v>
      </c>
      <c r="F251" s="55">
        <f t="shared" si="57"/>
        <v>6.28</v>
      </c>
      <c r="G251" s="41" t="s">
        <v>55</v>
      </c>
      <c r="H251" s="41"/>
      <c r="I251" s="41"/>
      <c r="J251" s="41">
        <f t="shared" si="58"/>
        <v>0</v>
      </c>
      <c r="K251" s="41">
        <f t="shared" si="58"/>
        <v>0</v>
      </c>
      <c r="L251" s="41">
        <f t="shared" si="59"/>
        <v>0</v>
      </c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  <c r="DK251" s="81"/>
      <c r="DL251" s="81"/>
      <c r="DM251" s="81"/>
      <c r="DN251" s="81"/>
      <c r="DO251" s="81"/>
      <c r="DP251" s="81"/>
      <c r="DQ251" s="81"/>
      <c r="DR251" s="81"/>
      <c r="DS251" s="81"/>
      <c r="DT251" s="81"/>
      <c r="DU251" s="81"/>
      <c r="DV251" s="81"/>
      <c r="DW251" s="81"/>
      <c r="DX251" s="81"/>
      <c r="DY251" s="81"/>
      <c r="DZ251" s="81"/>
      <c r="EA251" s="81"/>
      <c r="EB251" s="81"/>
      <c r="EC251" s="81"/>
      <c r="ED251" s="81"/>
      <c r="EE251" s="81"/>
      <c r="EF251" s="81"/>
      <c r="EG251" s="81"/>
      <c r="EH251" s="81"/>
      <c r="EI251" s="81"/>
      <c r="EJ251" s="81"/>
      <c r="EK251" s="81"/>
      <c r="EL251" s="81"/>
      <c r="EM251" s="81"/>
      <c r="EN251" s="81"/>
      <c r="EO251" s="81"/>
      <c r="EP251" s="81"/>
      <c r="EQ251" s="81"/>
      <c r="ER251" s="81"/>
      <c r="ES251" s="81"/>
      <c r="ET251" s="81"/>
      <c r="EU251" s="81"/>
      <c r="EV251" s="81"/>
      <c r="EW251" s="81"/>
      <c r="EX251" s="81"/>
      <c r="EY251" s="81"/>
      <c r="EZ251" s="81"/>
      <c r="FA251" s="81"/>
      <c r="FB251" s="81"/>
      <c r="FC251" s="81"/>
      <c r="FD251" s="81"/>
      <c r="FE251" s="81"/>
      <c r="FF251" s="81"/>
      <c r="FG251" s="81"/>
      <c r="FH251" s="81"/>
      <c r="FI251" s="81"/>
      <c r="FJ251" s="81"/>
      <c r="FK251" s="81"/>
      <c r="FL251" s="81"/>
      <c r="FM251" s="81"/>
      <c r="FN251" s="81"/>
      <c r="FO251" s="81"/>
      <c r="FP251" s="81"/>
      <c r="FQ251" s="81"/>
      <c r="FR251" s="81"/>
      <c r="FS251" s="81"/>
      <c r="FT251" s="81"/>
      <c r="FU251" s="81"/>
      <c r="FV251" s="81"/>
      <c r="FW251" s="81"/>
      <c r="FX251" s="81"/>
      <c r="FY251" s="81"/>
      <c r="FZ251" s="81"/>
      <c r="GA251" s="81"/>
      <c r="GB251" s="81"/>
      <c r="GC251" s="81"/>
      <c r="GD251" s="81"/>
      <c r="GE251" s="81"/>
      <c r="GF251" s="81"/>
      <c r="GG251" s="81"/>
      <c r="GH251" s="81"/>
      <c r="GI251" s="81"/>
      <c r="GJ251" s="81"/>
      <c r="GK251" s="81"/>
      <c r="GL251" s="81"/>
      <c r="GM251" s="81"/>
      <c r="GN251" s="81"/>
      <c r="GO251" s="81"/>
      <c r="GP251" s="81"/>
      <c r="GQ251" s="81"/>
      <c r="GR251" s="81"/>
      <c r="GS251" s="81"/>
      <c r="GT251" s="81"/>
      <c r="GU251" s="81"/>
      <c r="GV251" s="81"/>
      <c r="GW251" s="81"/>
      <c r="GX251" s="81"/>
      <c r="GY251" s="81"/>
      <c r="GZ251" s="81"/>
      <c r="HA251" s="81"/>
      <c r="HB251" s="81"/>
      <c r="HC251" s="81"/>
      <c r="HD251" s="81"/>
      <c r="HE251" s="81"/>
      <c r="HF251" s="81"/>
      <c r="HG251" s="81"/>
      <c r="HH251" s="81"/>
      <c r="HI251" s="81"/>
      <c r="HJ251" s="81"/>
      <c r="HK251" s="81"/>
      <c r="HL251" s="81"/>
      <c r="HM251" s="81"/>
      <c r="HN251" s="81"/>
      <c r="HO251" s="81"/>
      <c r="HP251" s="81"/>
      <c r="HQ251" s="81"/>
      <c r="HR251" s="81"/>
      <c r="HS251" s="81"/>
      <c r="HT251" s="81"/>
      <c r="HU251" s="81"/>
      <c r="HV251" s="81"/>
      <c r="HW251" s="81"/>
      <c r="HX251" s="81"/>
      <c r="HY251" s="81"/>
      <c r="HZ251" s="81"/>
      <c r="IA251" s="81"/>
      <c r="IB251" s="81"/>
      <c r="IC251" s="81"/>
      <c r="ID251" s="81"/>
      <c r="IE251" s="81"/>
      <c r="IF251" s="81"/>
      <c r="IG251" s="81"/>
      <c r="IH251" s="81"/>
      <c r="II251" s="81"/>
      <c r="IJ251" s="81"/>
    </row>
    <row r="252" spans="1:244" s="66" customFormat="1" ht="25.5" x14ac:dyDescent="0.2">
      <c r="A252" s="54"/>
      <c r="B252" s="44" t="s">
        <v>161</v>
      </c>
      <c r="C252" s="41" t="s">
        <v>55</v>
      </c>
      <c r="D252" s="41">
        <f>1</f>
        <v>1</v>
      </c>
      <c r="E252" s="45">
        <v>6.28</v>
      </c>
      <c r="F252" s="55">
        <f t="shared" si="57"/>
        <v>6.28</v>
      </c>
      <c r="G252" s="41" t="s">
        <v>55</v>
      </c>
      <c r="H252" s="41"/>
      <c r="I252" s="41"/>
      <c r="J252" s="41">
        <f t="shared" si="58"/>
        <v>0</v>
      </c>
      <c r="K252" s="41">
        <f t="shared" si="58"/>
        <v>0</v>
      </c>
      <c r="L252" s="41">
        <f t="shared" si="59"/>
        <v>0</v>
      </c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  <c r="DK252" s="81"/>
      <c r="DL252" s="81"/>
      <c r="DM252" s="81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1"/>
      <c r="DY252" s="81"/>
      <c r="DZ252" s="81"/>
      <c r="EA252" s="81"/>
      <c r="EB252" s="81"/>
      <c r="EC252" s="81"/>
      <c r="ED252" s="81"/>
      <c r="EE252" s="81"/>
      <c r="EF252" s="81"/>
      <c r="EG252" s="81"/>
      <c r="EH252" s="81"/>
      <c r="EI252" s="81"/>
      <c r="EJ252" s="81"/>
      <c r="EK252" s="81"/>
      <c r="EL252" s="81"/>
      <c r="EM252" s="81"/>
      <c r="EN252" s="81"/>
      <c r="EO252" s="81"/>
      <c r="EP252" s="81"/>
      <c r="EQ252" s="81"/>
      <c r="ER252" s="81"/>
      <c r="ES252" s="81"/>
      <c r="ET252" s="81"/>
      <c r="EU252" s="81"/>
      <c r="EV252" s="81"/>
      <c r="EW252" s="81"/>
      <c r="EX252" s="81"/>
      <c r="EY252" s="81"/>
      <c r="EZ252" s="81"/>
      <c r="FA252" s="81"/>
      <c r="FB252" s="81"/>
      <c r="FC252" s="81"/>
      <c r="FD252" s="81"/>
      <c r="FE252" s="81"/>
      <c r="FF252" s="81"/>
      <c r="FG252" s="81"/>
      <c r="FH252" s="81"/>
      <c r="FI252" s="81"/>
      <c r="FJ252" s="81"/>
      <c r="FK252" s="81"/>
      <c r="FL252" s="81"/>
      <c r="FM252" s="81"/>
      <c r="FN252" s="81"/>
      <c r="FO252" s="81"/>
      <c r="FP252" s="81"/>
      <c r="FQ252" s="81"/>
      <c r="FR252" s="81"/>
      <c r="FS252" s="81"/>
      <c r="FT252" s="81"/>
      <c r="FU252" s="81"/>
      <c r="FV252" s="81"/>
      <c r="FW252" s="81"/>
      <c r="FX252" s="81"/>
      <c r="FY252" s="81"/>
      <c r="FZ252" s="81"/>
      <c r="GA252" s="81"/>
      <c r="GB252" s="81"/>
      <c r="GC252" s="81"/>
      <c r="GD252" s="81"/>
      <c r="GE252" s="81"/>
      <c r="GF252" s="81"/>
      <c r="GG252" s="81"/>
      <c r="GH252" s="81"/>
      <c r="GI252" s="81"/>
      <c r="GJ252" s="81"/>
      <c r="GK252" s="81"/>
      <c r="GL252" s="81"/>
      <c r="GM252" s="81"/>
      <c r="GN252" s="81"/>
      <c r="GO252" s="81"/>
      <c r="GP252" s="81"/>
      <c r="GQ252" s="81"/>
      <c r="GR252" s="81"/>
      <c r="GS252" s="81"/>
      <c r="GT252" s="81"/>
      <c r="GU252" s="81"/>
      <c r="GV252" s="81"/>
      <c r="GW252" s="81"/>
      <c r="GX252" s="81"/>
      <c r="GY252" s="81"/>
      <c r="GZ252" s="81"/>
      <c r="HA252" s="81"/>
      <c r="HB252" s="81"/>
      <c r="HC252" s="81"/>
      <c r="HD252" s="81"/>
      <c r="HE252" s="81"/>
      <c r="HF252" s="81"/>
      <c r="HG252" s="81"/>
      <c r="HH252" s="81"/>
      <c r="HI252" s="81"/>
      <c r="HJ252" s="81"/>
      <c r="HK252" s="81"/>
      <c r="HL252" s="81"/>
      <c r="HM252" s="81"/>
      <c r="HN252" s="81"/>
      <c r="HO252" s="81"/>
      <c r="HP252" s="81"/>
      <c r="HQ252" s="81"/>
      <c r="HR252" s="81"/>
      <c r="HS252" s="81"/>
      <c r="HT252" s="81"/>
      <c r="HU252" s="81"/>
      <c r="HV252" s="81"/>
      <c r="HW252" s="81"/>
      <c r="HX252" s="81"/>
      <c r="HY252" s="81"/>
      <c r="HZ252" s="81"/>
      <c r="IA252" s="81"/>
      <c r="IB252" s="81"/>
      <c r="IC252" s="81"/>
      <c r="ID252" s="81"/>
      <c r="IE252" s="81"/>
      <c r="IF252" s="81"/>
      <c r="IG252" s="81"/>
      <c r="IH252" s="81"/>
      <c r="II252" s="81"/>
      <c r="IJ252" s="81"/>
    </row>
    <row r="253" spans="1:244" s="66" customFormat="1" ht="15" x14ac:dyDescent="0.2">
      <c r="A253" s="54"/>
      <c r="B253" s="44"/>
      <c r="C253" s="41"/>
      <c r="D253" s="41"/>
      <c r="E253" s="45"/>
      <c r="F253" s="55"/>
      <c r="G253" s="41"/>
      <c r="H253" s="41"/>
      <c r="I253" s="41"/>
      <c r="J253" s="41"/>
      <c r="K253" s="41"/>
      <c r="L253" s="4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  <c r="EK253" s="81"/>
      <c r="EL253" s="81"/>
      <c r="EM253" s="81"/>
      <c r="EN253" s="81"/>
      <c r="EO253" s="81"/>
      <c r="EP253" s="81"/>
      <c r="EQ253" s="81"/>
      <c r="ER253" s="81"/>
      <c r="ES253" s="81"/>
      <c r="ET253" s="81"/>
      <c r="EU253" s="81"/>
      <c r="EV253" s="81"/>
      <c r="EW253" s="81"/>
      <c r="EX253" s="81"/>
      <c r="EY253" s="81"/>
      <c r="EZ253" s="81"/>
      <c r="FA253" s="81"/>
      <c r="FB253" s="81"/>
      <c r="FC253" s="81"/>
      <c r="FD253" s="81"/>
      <c r="FE253" s="81"/>
      <c r="FF253" s="81"/>
      <c r="FG253" s="81"/>
      <c r="FH253" s="81"/>
      <c r="FI253" s="81"/>
      <c r="FJ253" s="81"/>
      <c r="FK253" s="81"/>
      <c r="FL253" s="81"/>
      <c r="FM253" s="81"/>
      <c r="FN253" s="81"/>
      <c r="FO253" s="81"/>
      <c r="FP253" s="81"/>
      <c r="FQ253" s="81"/>
      <c r="FR253" s="81"/>
      <c r="FS253" s="81"/>
      <c r="FT253" s="81"/>
      <c r="FU253" s="81"/>
      <c r="FV253" s="81"/>
      <c r="FW253" s="81"/>
      <c r="FX253" s="81"/>
      <c r="FY253" s="81"/>
      <c r="FZ253" s="81"/>
      <c r="GA253" s="81"/>
      <c r="GB253" s="81"/>
      <c r="GC253" s="81"/>
      <c r="GD253" s="81"/>
      <c r="GE253" s="81"/>
      <c r="GF253" s="81"/>
      <c r="GG253" s="81"/>
      <c r="GH253" s="81"/>
      <c r="GI253" s="81"/>
      <c r="GJ253" s="81"/>
      <c r="GK253" s="81"/>
      <c r="GL253" s="81"/>
      <c r="GM253" s="81"/>
      <c r="GN253" s="81"/>
      <c r="GO253" s="81"/>
      <c r="GP253" s="81"/>
      <c r="GQ253" s="81"/>
      <c r="GR253" s="81"/>
      <c r="GS253" s="81"/>
      <c r="GT253" s="81"/>
      <c r="GU253" s="81"/>
      <c r="GV253" s="81"/>
      <c r="GW253" s="81"/>
      <c r="GX253" s="81"/>
      <c r="GY253" s="81"/>
      <c r="GZ253" s="81"/>
      <c r="HA253" s="81"/>
      <c r="HB253" s="81"/>
      <c r="HC253" s="81"/>
      <c r="HD253" s="81"/>
      <c r="HE253" s="81"/>
      <c r="HF253" s="81"/>
      <c r="HG253" s="81"/>
      <c r="HH253" s="81"/>
      <c r="HI253" s="81"/>
      <c r="HJ253" s="81"/>
      <c r="HK253" s="81"/>
      <c r="HL253" s="81"/>
      <c r="HM253" s="81"/>
      <c r="HN253" s="81"/>
      <c r="HO253" s="81"/>
      <c r="HP253" s="81"/>
      <c r="HQ253" s="81"/>
      <c r="HR253" s="81"/>
      <c r="HS253" s="81"/>
      <c r="HT253" s="81"/>
      <c r="HU253" s="81"/>
      <c r="HV253" s="81"/>
      <c r="HW253" s="81"/>
      <c r="HX253" s="81"/>
      <c r="HY253" s="81"/>
      <c r="HZ253" s="81"/>
      <c r="IA253" s="81"/>
      <c r="IB253" s="81"/>
      <c r="IC253" s="81"/>
      <c r="ID253" s="81"/>
      <c r="IE253" s="81"/>
      <c r="IF253" s="81"/>
      <c r="IG253" s="81"/>
      <c r="IH253" s="81"/>
      <c r="II253" s="81"/>
      <c r="IJ253" s="81"/>
    </row>
    <row r="254" spans="1:244" s="43" customFormat="1" ht="14.25" x14ac:dyDescent="0.2">
      <c r="A254" s="18"/>
      <c r="B254" s="13" t="s">
        <v>276</v>
      </c>
      <c r="C254" s="12"/>
      <c r="D254" s="24"/>
      <c r="E254" s="12"/>
      <c r="F254" s="12"/>
      <c r="G254" s="12"/>
      <c r="H254" s="11"/>
      <c r="I254" s="11"/>
      <c r="J254" s="11"/>
      <c r="K254" s="11"/>
      <c r="L254" s="11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</row>
    <row r="255" spans="1:244" s="81" customFormat="1" ht="38.25" x14ac:dyDescent="0.2">
      <c r="A255" s="54"/>
      <c r="B255" s="44" t="s">
        <v>354</v>
      </c>
      <c r="C255" s="41" t="s">
        <v>70</v>
      </c>
      <c r="D255" s="76">
        <f>CEILING(1.01*(0.5),1)</f>
        <v>1</v>
      </c>
      <c r="E255" s="45">
        <v>0.85199999999999998</v>
      </c>
      <c r="F255" s="55">
        <f t="shared" ref="F255:F261" si="60">D255*E255</f>
        <v>0.85199999999999998</v>
      </c>
      <c r="G255" s="41" t="s">
        <v>71</v>
      </c>
      <c r="H255" s="41"/>
      <c r="I255" s="41"/>
      <c r="J255" s="41">
        <f>$F255*H255</f>
        <v>0</v>
      </c>
      <c r="K255" s="41">
        <f t="shared" ref="K255:K261" si="61">$D255*I255</f>
        <v>0</v>
      </c>
      <c r="L255" s="41">
        <f t="shared" ref="L255:L261" si="62">J255+K255</f>
        <v>0</v>
      </c>
    </row>
    <row r="256" spans="1:244" s="81" customFormat="1" ht="38.25" x14ac:dyDescent="0.2">
      <c r="A256" s="54"/>
      <c r="B256" s="44" t="s">
        <v>355</v>
      </c>
      <c r="C256" s="41" t="s">
        <v>70</v>
      </c>
      <c r="D256" s="76">
        <f>CEILING(1.01*(1),1)</f>
        <v>2</v>
      </c>
      <c r="E256" s="45">
        <f>1.22</f>
        <v>1.22</v>
      </c>
      <c r="F256" s="55">
        <f t="shared" si="60"/>
        <v>2.44</v>
      </c>
      <c r="G256" s="41" t="s">
        <v>71</v>
      </c>
      <c r="H256" s="41"/>
      <c r="I256" s="41"/>
      <c r="J256" s="41">
        <f>$F256*H256</f>
        <v>0</v>
      </c>
      <c r="K256" s="41">
        <f t="shared" si="61"/>
        <v>0</v>
      </c>
      <c r="L256" s="41">
        <f t="shared" si="62"/>
        <v>0</v>
      </c>
    </row>
    <row r="257" spans="1:244" s="43" customFormat="1" ht="25.5" x14ac:dyDescent="0.2">
      <c r="A257" s="54"/>
      <c r="B257" s="40" t="s">
        <v>330</v>
      </c>
      <c r="C257" s="41" t="s">
        <v>70</v>
      </c>
      <c r="D257" s="76">
        <f>CEILING(1.01*(3),1)</f>
        <v>4</v>
      </c>
      <c r="E257" s="45">
        <v>1.2</v>
      </c>
      <c r="F257" s="55">
        <f t="shared" si="60"/>
        <v>4.8</v>
      </c>
      <c r="G257" s="41" t="s">
        <v>71</v>
      </c>
      <c r="H257" s="41"/>
      <c r="I257" s="41"/>
      <c r="J257" s="41">
        <f>$F257*H257</f>
        <v>0</v>
      </c>
      <c r="K257" s="41">
        <f t="shared" si="61"/>
        <v>0</v>
      </c>
      <c r="L257" s="41">
        <f t="shared" si="62"/>
        <v>0</v>
      </c>
    </row>
    <row r="258" spans="1:244" ht="25.5" x14ac:dyDescent="0.2">
      <c r="A258" s="84"/>
      <c r="B258" s="85" t="s">
        <v>115</v>
      </c>
      <c r="C258" s="41" t="s">
        <v>55</v>
      </c>
      <c r="D258" s="41">
        <f>4</f>
        <v>4</v>
      </c>
      <c r="E258" s="45">
        <f>ROUND(PI()/2*29/1000*1.2,2)</f>
        <v>0.05</v>
      </c>
      <c r="F258" s="55">
        <f t="shared" si="60"/>
        <v>0.2</v>
      </c>
      <c r="G258" s="41" t="s">
        <v>55</v>
      </c>
      <c r="H258" s="75"/>
      <c r="I258" s="75"/>
      <c r="J258" s="41">
        <f>$D258*H258</f>
        <v>0</v>
      </c>
      <c r="K258" s="41">
        <f t="shared" si="61"/>
        <v>0</v>
      </c>
      <c r="L258" s="41">
        <f t="shared" si="62"/>
        <v>0</v>
      </c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84"/>
      <c r="GD258" s="84"/>
      <c r="GE258" s="84"/>
      <c r="GF258" s="84"/>
      <c r="GG258" s="84"/>
      <c r="GH258" s="84"/>
      <c r="GI258" s="84"/>
      <c r="GJ258" s="84"/>
      <c r="GK258" s="84"/>
      <c r="GL258" s="84"/>
      <c r="GM258" s="84"/>
      <c r="GN258" s="84"/>
      <c r="GO258" s="84"/>
      <c r="GP258" s="84"/>
      <c r="GQ258" s="84"/>
      <c r="GR258" s="84"/>
      <c r="GS258" s="84"/>
      <c r="GT258" s="84"/>
      <c r="GU258" s="84"/>
      <c r="GV258" s="84"/>
      <c r="GW258" s="84"/>
      <c r="GX258" s="84"/>
      <c r="GY258" s="84"/>
      <c r="GZ258" s="84"/>
      <c r="HA258" s="84"/>
      <c r="HB258" s="84"/>
      <c r="HC258" s="84"/>
      <c r="HD258" s="84"/>
      <c r="HE258" s="84"/>
      <c r="HF258" s="84"/>
      <c r="HG258" s="84"/>
      <c r="HH258" s="84"/>
      <c r="HI258" s="84"/>
      <c r="HJ258" s="84"/>
      <c r="HK258" s="84"/>
      <c r="HL258" s="84"/>
      <c r="HM258" s="84"/>
      <c r="HN258" s="84"/>
      <c r="HO258" s="84"/>
      <c r="HP258" s="84"/>
      <c r="HQ258" s="84"/>
      <c r="HR258" s="84"/>
      <c r="HS258" s="84"/>
      <c r="HT258" s="84"/>
      <c r="HU258" s="84"/>
      <c r="HV258" s="84"/>
      <c r="HW258" s="84"/>
      <c r="HX258" s="84"/>
      <c r="HY258" s="84"/>
      <c r="HZ258" s="84"/>
      <c r="IA258" s="84"/>
      <c r="IB258" s="84"/>
      <c r="IC258" s="84"/>
      <c r="ID258" s="84"/>
      <c r="IE258" s="84"/>
      <c r="IF258" s="84"/>
      <c r="IG258" s="84"/>
      <c r="IH258" s="84"/>
      <c r="II258" s="84"/>
      <c r="IJ258" s="84"/>
    </row>
    <row r="259" spans="1:244" s="81" customFormat="1" ht="25.5" x14ac:dyDescent="0.2">
      <c r="A259" s="54"/>
      <c r="B259" s="44" t="s">
        <v>275</v>
      </c>
      <c r="C259" s="41" t="s">
        <v>55</v>
      </c>
      <c r="D259" s="76">
        <f>2</f>
        <v>2</v>
      </c>
      <c r="E259" s="45">
        <v>0.04</v>
      </c>
      <c r="F259" s="45">
        <f t="shared" si="60"/>
        <v>0.08</v>
      </c>
      <c r="G259" s="41" t="s">
        <v>55</v>
      </c>
      <c r="H259" s="41"/>
      <c r="I259" s="41"/>
      <c r="J259" s="41">
        <f>$D259*H259</f>
        <v>0</v>
      </c>
      <c r="K259" s="41">
        <f t="shared" si="61"/>
        <v>0</v>
      </c>
      <c r="L259" s="41">
        <f t="shared" si="62"/>
        <v>0</v>
      </c>
    </row>
    <row r="260" spans="1:244" s="81" customFormat="1" ht="25.5" x14ac:dyDescent="0.2">
      <c r="A260" s="54"/>
      <c r="B260" s="44" t="s">
        <v>274</v>
      </c>
      <c r="C260" s="41" t="s">
        <v>55</v>
      </c>
      <c r="D260" s="76">
        <f>D259</f>
        <v>2</v>
      </c>
      <c r="E260" s="45">
        <v>0.13</v>
      </c>
      <c r="F260" s="45">
        <f t="shared" si="60"/>
        <v>0.26</v>
      </c>
      <c r="G260" s="41" t="s">
        <v>55</v>
      </c>
      <c r="H260" s="41"/>
      <c r="I260" s="41"/>
      <c r="J260" s="41">
        <f>$D260*H260</f>
        <v>0</v>
      </c>
      <c r="K260" s="41">
        <f t="shared" si="61"/>
        <v>0</v>
      </c>
      <c r="L260" s="41">
        <f t="shared" si="62"/>
        <v>0</v>
      </c>
    </row>
    <row r="261" spans="1:244" s="81" customFormat="1" ht="28.5" x14ac:dyDescent="0.2">
      <c r="A261" s="54"/>
      <c r="B261" s="44" t="s">
        <v>272</v>
      </c>
      <c r="C261" s="41" t="s">
        <v>55</v>
      </c>
      <c r="D261" s="76">
        <f>2</f>
        <v>2</v>
      </c>
      <c r="E261" s="45">
        <v>0.14399999999999999</v>
      </c>
      <c r="F261" s="45">
        <f t="shared" si="60"/>
        <v>0.28799999999999998</v>
      </c>
      <c r="G261" s="41" t="s">
        <v>55</v>
      </c>
      <c r="H261" s="41"/>
      <c r="I261" s="41"/>
      <c r="J261" s="41">
        <f>$D261*H261</f>
        <v>0</v>
      </c>
      <c r="K261" s="41">
        <f t="shared" si="61"/>
        <v>0</v>
      </c>
      <c r="L261" s="41">
        <f t="shared" si="62"/>
        <v>0</v>
      </c>
    </row>
    <row r="262" spans="1:244" x14ac:dyDescent="0.2">
      <c r="A262" s="54"/>
      <c r="B262" s="44"/>
      <c r="C262" s="41"/>
      <c r="D262" s="46"/>
      <c r="E262" s="45"/>
      <c r="F262" s="55"/>
      <c r="G262" s="41"/>
      <c r="H262" s="41"/>
      <c r="I262" s="41"/>
      <c r="J262" s="41"/>
      <c r="K262" s="41"/>
      <c r="L262" s="4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  <c r="DK262" s="81"/>
      <c r="DL262" s="81"/>
      <c r="DM262" s="81"/>
      <c r="DN262" s="81"/>
      <c r="DO262" s="81"/>
      <c r="DP262" s="81"/>
      <c r="DQ262" s="81"/>
      <c r="DR262" s="81"/>
      <c r="DS262" s="81"/>
      <c r="DT262" s="81"/>
      <c r="DU262" s="81"/>
      <c r="DV262" s="81"/>
      <c r="DW262" s="81"/>
      <c r="DX262" s="81"/>
      <c r="DY262" s="81"/>
      <c r="DZ262" s="81"/>
      <c r="EA262" s="81"/>
      <c r="EB262" s="81"/>
      <c r="EC262" s="81"/>
      <c r="ED262" s="81"/>
      <c r="EE262" s="81"/>
      <c r="EF262" s="81"/>
      <c r="EG262" s="81"/>
      <c r="EH262" s="81"/>
      <c r="EI262" s="81"/>
      <c r="EJ262" s="81"/>
      <c r="EK262" s="81"/>
      <c r="EL262" s="81"/>
      <c r="EM262" s="81"/>
      <c r="EN262" s="81"/>
      <c r="EO262" s="81"/>
      <c r="EP262" s="81"/>
      <c r="EQ262" s="81"/>
      <c r="ER262" s="81"/>
      <c r="ES262" s="81"/>
      <c r="ET262" s="81"/>
      <c r="EU262" s="81"/>
      <c r="EV262" s="81"/>
      <c r="EW262" s="81"/>
      <c r="EX262" s="81"/>
      <c r="EY262" s="81"/>
      <c r="EZ262" s="81"/>
      <c r="FA262" s="81"/>
      <c r="FB262" s="81"/>
      <c r="FC262" s="81"/>
      <c r="FD262" s="81"/>
      <c r="FE262" s="81"/>
      <c r="FF262" s="81"/>
      <c r="FG262" s="81"/>
      <c r="FH262" s="81"/>
      <c r="FI262" s="81"/>
      <c r="FJ262" s="81"/>
      <c r="FK262" s="81"/>
      <c r="FL262" s="81"/>
      <c r="FM262" s="81"/>
      <c r="FN262" s="81"/>
      <c r="FO262" s="81"/>
      <c r="FP262" s="81"/>
      <c r="FQ262" s="81"/>
      <c r="FR262" s="81"/>
      <c r="FS262" s="81"/>
      <c r="FT262" s="81"/>
      <c r="FU262" s="81"/>
      <c r="FV262" s="81"/>
      <c r="FW262" s="81"/>
      <c r="FX262" s="81"/>
      <c r="FY262" s="81"/>
      <c r="FZ262" s="81"/>
      <c r="GA262" s="81"/>
      <c r="GB262" s="81"/>
      <c r="GC262" s="81"/>
      <c r="GD262" s="81"/>
      <c r="GE262" s="81"/>
      <c r="GF262" s="81"/>
      <c r="GG262" s="81"/>
      <c r="GH262" s="81"/>
      <c r="GI262" s="81"/>
      <c r="GJ262" s="81"/>
      <c r="GK262" s="81"/>
      <c r="GL262" s="81"/>
      <c r="GM262" s="81"/>
      <c r="GN262" s="81"/>
      <c r="GO262" s="81"/>
      <c r="GP262" s="81"/>
      <c r="GQ262" s="81"/>
      <c r="GR262" s="81"/>
      <c r="GS262" s="81"/>
      <c r="GT262" s="81"/>
      <c r="GU262" s="81"/>
      <c r="GV262" s="81"/>
      <c r="GW262" s="81"/>
      <c r="GX262" s="81"/>
      <c r="GY262" s="81"/>
      <c r="GZ262" s="81"/>
      <c r="HA262" s="81"/>
      <c r="HB262" s="81"/>
      <c r="HC262" s="81"/>
      <c r="HD262" s="81"/>
      <c r="HE262" s="81"/>
      <c r="HF262" s="81"/>
      <c r="HG262" s="81"/>
      <c r="HH262" s="81"/>
      <c r="HI262" s="81"/>
      <c r="HJ262" s="81"/>
      <c r="HK262" s="81"/>
      <c r="HL262" s="81"/>
      <c r="HM262" s="81"/>
      <c r="HN262" s="81"/>
      <c r="HO262" s="81"/>
      <c r="HP262" s="81"/>
      <c r="HQ262" s="81"/>
      <c r="HR262" s="81"/>
      <c r="HS262" s="81"/>
      <c r="HT262" s="81"/>
      <c r="HU262" s="81"/>
      <c r="HV262" s="81"/>
      <c r="HW262" s="81"/>
      <c r="HX262" s="81"/>
      <c r="HY262" s="81"/>
      <c r="HZ262" s="81"/>
      <c r="IA262" s="81"/>
      <c r="IB262" s="81"/>
      <c r="IC262" s="81"/>
      <c r="ID262" s="81"/>
      <c r="IE262" s="81"/>
      <c r="IF262" s="81"/>
      <c r="IG262" s="81"/>
      <c r="IH262" s="81"/>
      <c r="II262" s="81"/>
      <c r="IJ262" s="81"/>
    </row>
    <row r="263" spans="1:244" x14ac:dyDescent="0.2">
      <c r="A263" s="54"/>
      <c r="B263" s="94" t="s">
        <v>266</v>
      </c>
      <c r="C263" s="41"/>
      <c r="D263" s="41"/>
      <c r="E263" s="45"/>
      <c r="F263" s="55"/>
      <c r="G263" s="41"/>
      <c r="H263" s="41"/>
      <c r="I263" s="41"/>
      <c r="J263" s="41"/>
      <c r="K263" s="41"/>
      <c r="L263" s="4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  <c r="DK263" s="81"/>
      <c r="DL263" s="81"/>
      <c r="DM263" s="81"/>
      <c r="DN263" s="81"/>
      <c r="DO263" s="81"/>
      <c r="DP263" s="81"/>
      <c r="DQ263" s="81"/>
      <c r="DR263" s="81"/>
      <c r="DS263" s="81"/>
      <c r="DT263" s="81"/>
      <c r="DU263" s="81"/>
      <c r="DV263" s="81"/>
      <c r="DW263" s="81"/>
      <c r="DX263" s="81"/>
      <c r="DY263" s="81"/>
      <c r="DZ263" s="81"/>
      <c r="EA263" s="81"/>
      <c r="EB263" s="81"/>
      <c r="EC263" s="81"/>
      <c r="ED263" s="81"/>
      <c r="EE263" s="81"/>
      <c r="EF263" s="81"/>
      <c r="EG263" s="81"/>
      <c r="EH263" s="81"/>
      <c r="EI263" s="81"/>
      <c r="EJ263" s="81"/>
      <c r="EK263" s="81"/>
      <c r="EL263" s="81"/>
      <c r="EM263" s="81"/>
      <c r="EN263" s="81"/>
      <c r="EO263" s="81"/>
      <c r="EP263" s="81"/>
      <c r="EQ263" s="81"/>
      <c r="ER263" s="81"/>
      <c r="ES263" s="81"/>
      <c r="ET263" s="81"/>
      <c r="EU263" s="81"/>
      <c r="EV263" s="81"/>
      <c r="EW263" s="81"/>
      <c r="EX263" s="81"/>
      <c r="EY263" s="81"/>
      <c r="EZ263" s="81"/>
      <c r="FA263" s="81"/>
      <c r="FB263" s="81"/>
      <c r="FC263" s="81"/>
      <c r="FD263" s="81"/>
      <c r="FE263" s="81"/>
      <c r="FF263" s="81"/>
      <c r="FG263" s="81"/>
      <c r="FH263" s="81"/>
      <c r="FI263" s="81"/>
      <c r="FJ263" s="81"/>
      <c r="FK263" s="81"/>
      <c r="FL263" s="81"/>
      <c r="FM263" s="81"/>
      <c r="FN263" s="81"/>
      <c r="FO263" s="81"/>
      <c r="FP263" s="81"/>
      <c r="FQ263" s="81"/>
      <c r="FR263" s="81"/>
      <c r="FS263" s="81"/>
      <c r="FT263" s="81"/>
      <c r="FU263" s="81"/>
      <c r="FV263" s="81"/>
      <c r="FW263" s="81"/>
      <c r="FX263" s="81"/>
      <c r="FY263" s="81"/>
      <c r="FZ263" s="81"/>
      <c r="GA263" s="81"/>
      <c r="GB263" s="81"/>
      <c r="GC263" s="81"/>
      <c r="GD263" s="81"/>
      <c r="GE263" s="81"/>
      <c r="GF263" s="81"/>
      <c r="GG263" s="81"/>
      <c r="GH263" s="81"/>
      <c r="GI263" s="81"/>
      <c r="GJ263" s="81"/>
      <c r="GK263" s="81"/>
      <c r="GL263" s="81"/>
      <c r="GM263" s="81"/>
      <c r="GN263" s="81"/>
      <c r="GO263" s="81"/>
      <c r="GP263" s="81"/>
      <c r="GQ263" s="81"/>
      <c r="GR263" s="81"/>
      <c r="GS263" s="81"/>
      <c r="GT263" s="81"/>
      <c r="GU263" s="81"/>
      <c r="GV263" s="81"/>
      <c r="GW263" s="81"/>
      <c r="GX263" s="81"/>
      <c r="GY263" s="81"/>
      <c r="GZ263" s="81"/>
      <c r="HA263" s="81"/>
      <c r="HB263" s="81"/>
      <c r="HC263" s="81"/>
      <c r="HD263" s="81"/>
      <c r="HE263" s="81"/>
      <c r="HF263" s="81"/>
      <c r="HG263" s="81"/>
      <c r="HH263" s="81"/>
      <c r="HI263" s="81"/>
      <c r="HJ263" s="81"/>
      <c r="HK263" s="81"/>
      <c r="HL263" s="81"/>
      <c r="HM263" s="81"/>
      <c r="HN263" s="81"/>
      <c r="HO263" s="81"/>
      <c r="HP263" s="81"/>
      <c r="HQ263" s="81"/>
      <c r="HR263" s="81"/>
      <c r="HS263" s="81"/>
      <c r="HT263" s="81"/>
      <c r="HU263" s="81"/>
      <c r="HV263" s="81"/>
      <c r="HW263" s="81"/>
      <c r="HX263" s="81"/>
      <c r="HY263" s="81"/>
      <c r="HZ263" s="81"/>
      <c r="IA263" s="81"/>
      <c r="IB263" s="81"/>
      <c r="IC263" s="81"/>
      <c r="ID263" s="81"/>
      <c r="IE263" s="81"/>
      <c r="IF263" s="81"/>
      <c r="IG263" s="81"/>
      <c r="IH263" s="81"/>
      <c r="II263" s="81"/>
      <c r="IJ263" s="81"/>
    </row>
    <row r="264" spans="1:244" s="43" customFormat="1" ht="25.5" x14ac:dyDescent="0.2">
      <c r="A264" s="54"/>
      <c r="B264" s="40" t="s">
        <v>333</v>
      </c>
      <c r="C264" s="41" t="s">
        <v>70</v>
      </c>
      <c r="D264" s="76">
        <f>CEILING(1.01*(0.5),1)</f>
        <v>1</v>
      </c>
      <c r="E264" s="45">
        <v>2.5499999999999998</v>
      </c>
      <c r="F264" s="55">
        <f>D264*E264</f>
        <v>2.5499999999999998</v>
      </c>
      <c r="G264" s="41" t="s">
        <v>71</v>
      </c>
      <c r="H264" s="41"/>
      <c r="I264" s="41"/>
      <c r="J264" s="41">
        <f>$F264*H264</f>
        <v>0</v>
      </c>
      <c r="K264" s="41">
        <f t="shared" ref="K264:K272" si="63">$D264*I264</f>
        <v>0</v>
      </c>
      <c r="L264" s="41">
        <f>J264+K264</f>
        <v>0</v>
      </c>
    </row>
    <row r="265" spans="1:244" s="43" customFormat="1" ht="25.5" x14ac:dyDescent="0.2">
      <c r="A265" s="54"/>
      <c r="B265" s="44" t="s">
        <v>356</v>
      </c>
      <c r="C265" s="41" t="s">
        <v>70</v>
      </c>
      <c r="D265" s="76">
        <f>CEILING(1.01*(0.6+0.3+1.4+2.4+0.9+1.9+3*0.6+2.3+1.2+2.8+0.6+2*2.5+2.9+0.7+2.9+0.7),1)</f>
        <v>29</v>
      </c>
      <c r="E265" s="45">
        <v>2.93</v>
      </c>
      <c r="F265" s="55">
        <f t="shared" ref="F265:F276" si="64">D265*E265</f>
        <v>84.97</v>
      </c>
      <c r="G265" s="41" t="s">
        <v>71</v>
      </c>
      <c r="H265" s="41"/>
      <c r="I265" s="41"/>
      <c r="J265" s="41">
        <f>$F265*H265</f>
        <v>0</v>
      </c>
      <c r="K265" s="41">
        <f t="shared" si="63"/>
        <v>0</v>
      </c>
      <c r="L265" s="41">
        <f t="shared" ref="L265:L276" si="65">J265+K265</f>
        <v>0</v>
      </c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  <c r="DK265" s="81"/>
      <c r="DL265" s="81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1"/>
      <c r="DX265" s="81"/>
      <c r="DY265" s="81"/>
      <c r="DZ265" s="81"/>
      <c r="EA265" s="81"/>
      <c r="EB265" s="81"/>
      <c r="EC265" s="81"/>
      <c r="ED265" s="81"/>
      <c r="EE265" s="81"/>
      <c r="EF265" s="81"/>
      <c r="EG265" s="81"/>
      <c r="EH265" s="81"/>
      <c r="EI265" s="81"/>
      <c r="EJ265" s="81"/>
      <c r="EK265" s="81"/>
      <c r="EL265" s="81"/>
      <c r="EM265" s="81"/>
      <c r="EN265" s="81"/>
      <c r="EO265" s="81"/>
      <c r="EP265" s="81"/>
      <c r="EQ265" s="81"/>
      <c r="ER265" s="81"/>
      <c r="ES265" s="81"/>
      <c r="ET265" s="81"/>
      <c r="EU265" s="81"/>
      <c r="EV265" s="81"/>
      <c r="EW265" s="81"/>
      <c r="EX265" s="81"/>
      <c r="EY265" s="81"/>
      <c r="EZ265" s="81"/>
      <c r="FA265" s="81"/>
      <c r="FB265" s="81"/>
      <c r="FC265" s="81"/>
      <c r="FD265" s="81"/>
      <c r="FE265" s="81"/>
      <c r="FF265" s="81"/>
      <c r="FG265" s="81"/>
      <c r="FH265" s="81"/>
      <c r="FI265" s="81"/>
      <c r="FJ265" s="81"/>
      <c r="FK265" s="81"/>
      <c r="FL265" s="81"/>
      <c r="FM265" s="81"/>
      <c r="FN265" s="81"/>
      <c r="FO265" s="81"/>
      <c r="FP265" s="81"/>
      <c r="FQ265" s="81"/>
      <c r="FR265" s="81"/>
      <c r="FS265" s="81"/>
      <c r="FT265" s="81"/>
      <c r="FU265" s="81"/>
      <c r="FV265" s="81"/>
      <c r="FW265" s="81"/>
      <c r="FX265" s="81"/>
      <c r="FY265" s="81"/>
      <c r="FZ265" s="81"/>
      <c r="GA265" s="81"/>
      <c r="GB265" s="81"/>
      <c r="GC265" s="81"/>
      <c r="GD265" s="81"/>
      <c r="GE265" s="81"/>
      <c r="GF265" s="81"/>
      <c r="GG265" s="81"/>
      <c r="GH265" s="81"/>
      <c r="GI265" s="81"/>
      <c r="GJ265" s="81"/>
      <c r="GK265" s="81"/>
      <c r="GL265" s="81"/>
      <c r="GM265" s="81"/>
      <c r="GN265" s="81"/>
      <c r="GO265" s="81"/>
      <c r="GP265" s="81"/>
      <c r="GQ265" s="81"/>
      <c r="GR265" s="81"/>
      <c r="GS265" s="81"/>
      <c r="GT265" s="81"/>
      <c r="GU265" s="81"/>
      <c r="GV265" s="81"/>
      <c r="GW265" s="81"/>
      <c r="GX265" s="81"/>
      <c r="GY265" s="81"/>
      <c r="GZ265" s="81"/>
      <c r="HA265" s="81"/>
      <c r="HB265" s="81"/>
      <c r="HC265" s="81"/>
      <c r="HD265" s="81"/>
      <c r="HE265" s="81"/>
      <c r="HF265" s="81"/>
      <c r="HG265" s="81"/>
      <c r="HH265" s="81"/>
      <c r="HI265" s="81"/>
      <c r="HJ265" s="81"/>
      <c r="HK265" s="81"/>
      <c r="HL265" s="81"/>
      <c r="HM265" s="81"/>
      <c r="HN265" s="81"/>
      <c r="HO265" s="81"/>
      <c r="HP265" s="81"/>
      <c r="HQ265" s="81"/>
      <c r="HR265" s="81"/>
      <c r="HS265" s="81"/>
      <c r="HT265" s="81"/>
      <c r="HU265" s="81"/>
      <c r="HV265" s="81"/>
      <c r="HW265" s="81"/>
      <c r="HX265" s="81"/>
      <c r="HY265" s="81"/>
      <c r="HZ265" s="81"/>
      <c r="IA265" s="81"/>
      <c r="IB265" s="81"/>
      <c r="IC265" s="81"/>
      <c r="ID265" s="81"/>
      <c r="IE265" s="81"/>
      <c r="IF265" s="81"/>
      <c r="IG265" s="81"/>
      <c r="IH265" s="81"/>
      <c r="II265" s="81"/>
      <c r="IJ265" s="81"/>
    </row>
    <row r="266" spans="1:244" s="43" customFormat="1" ht="25.5" x14ac:dyDescent="0.2">
      <c r="A266" s="84"/>
      <c r="B266" s="85" t="s">
        <v>267</v>
      </c>
      <c r="C266" s="41" t="s">
        <v>55</v>
      </c>
      <c r="D266" s="41">
        <f>14+16</f>
        <v>30</v>
      </c>
      <c r="E266" s="45">
        <f>ROUND(PI()/2*57/1000*2.93,2)</f>
        <v>0.26</v>
      </c>
      <c r="F266" s="41">
        <f t="shared" si="64"/>
        <v>7.8000000000000007</v>
      </c>
      <c r="G266" s="41" t="s">
        <v>55</v>
      </c>
      <c r="H266" s="75"/>
      <c r="I266" s="75"/>
      <c r="J266" s="41">
        <f t="shared" ref="J266:J272" si="66">$D266*H266</f>
        <v>0</v>
      </c>
      <c r="K266" s="41">
        <f t="shared" si="63"/>
        <v>0</v>
      </c>
      <c r="L266" s="41">
        <f t="shared" si="65"/>
        <v>0</v>
      </c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  <c r="DR266" s="84"/>
      <c r="DS266" s="84"/>
      <c r="DT266" s="84"/>
      <c r="DU266" s="84"/>
      <c r="DV266" s="84"/>
      <c r="DW266" s="84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4"/>
      <c r="EK266" s="84"/>
      <c r="EL266" s="84"/>
      <c r="EM266" s="84"/>
      <c r="EN266" s="84"/>
      <c r="EO266" s="84"/>
      <c r="EP266" s="84"/>
      <c r="EQ266" s="84"/>
      <c r="ER266" s="84"/>
      <c r="ES266" s="84"/>
      <c r="ET266" s="84"/>
      <c r="EU266" s="84"/>
      <c r="EV266" s="84"/>
      <c r="EW266" s="84"/>
      <c r="EX266" s="84"/>
      <c r="EY266" s="84"/>
      <c r="EZ266" s="84"/>
      <c r="FA266" s="84"/>
      <c r="FB266" s="84"/>
      <c r="FC266" s="84"/>
      <c r="FD266" s="84"/>
      <c r="FE266" s="84"/>
      <c r="FF266" s="84"/>
      <c r="FG266" s="84"/>
      <c r="FH266" s="84"/>
      <c r="FI266" s="84"/>
      <c r="FJ266" s="84"/>
      <c r="FK266" s="84"/>
      <c r="FL266" s="84"/>
      <c r="FM266" s="84"/>
      <c r="FN266" s="84"/>
      <c r="FO266" s="84"/>
      <c r="FP266" s="84"/>
      <c r="FQ266" s="84"/>
      <c r="FR266" s="84"/>
      <c r="FS266" s="84"/>
      <c r="FT266" s="84"/>
      <c r="FU266" s="84"/>
      <c r="FV266" s="84"/>
      <c r="FW266" s="84"/>
      <c r="FX266" s="84"/>
      <c r="FY266" s="84"/>
      <c r="FZ266" s="84"/>
      <c r="GA266" s="84"/>
      <c r="GB266" s="84"/>
      <c r="GC266" s="84"/>
      <c r="GD266" s="84"/>
      <c r="GE266" s="84"/>
      <c r="GF266" s="84"/>
      <c r="GG266" s="84"/>
      <c r="GH266" s="84"/>
      <c r="GI266" s="84"/>
      <c r="GJ266" s="84"/>
      <c r="GK266" s="84"/>
      <c r="GL266" s="84"/>
      <c r="GM266" s="84"/>
      <c r="GN266" s="84"/>
      <c r="GO266" s="84"/>
      <c r="GP266" s="84"/>
      <c r="GQ266" s="84"/>
      <c r="GR266" s="84"/>
      <c r="GS266" s="84"/>
      <c r="GT266" s="84"/>
      <c r="GU266" s="84"/>
      <c r="GV266" s="84"/>
      <c r="GW266" s="84"/>
      <c r="GX266" s="84"/>
      <c r="GY266" s="84"/>
      <c r="GZ266" s="84"/>
      <c r="HA266" s="84"/>
      <c r="HB266" s="84"/>
      <c r="HC266" s="84"/>
      <c r="HD266" s="84"/>
      <c r="HE266" s="84"/>
      <c r="HF266" s="84"/>
      <c r="HG266" s="84"/>
      <c r="HH266" s="84"/>
      <c r="HI266" s="84"/>
      <c r="HJ266" s="84"/>
      <c r="HK266" s="84"/>
      <c r="HL266" s="84"/>
      <c r="HM266" s="84"/>
      <c r="HN266" s="84"/>
      <c r="HO266" s="84"/>
      <c r="HP266" s="84"/>
      <c r="HQ266" s="84"/>
      <c r="HR266" s="84"/>
      <c r="HS266" s="84"/>
      <c r="HT266" s="84"/>
      <c r="HU266" s="84"/>
      <c r="HV266" s="84"/>
      <c r="HW266" s="84"/>
      <c r="HX266" s="84"/>
      <c r="HY266" s="84"/>
      <c r="HZ266" s="84"/>
      <c r="IA266" s="84"/>
      <c r="IB266" s="84"/>
      <c r="IC266" s="84"/>
      <c r="ID266" s="84"/>
      <c r="IE266" s="84"/>
      <c r="IF266" s="84"/>
      <c r="IG266" s="84"/>
      <c r="IH266" s="84"/>
      <c r="II266" s="84"/>
      <c r="IJ266" s="84"/>
    </row>
    <row r="267" spans="1:244" s="81" customFormat="1" ht="25.5" x14ac:dyDescent="0.2">
      <c r="A267" s="84"/>
      <c r="B267" s="85" t="s">
        <v>118</v>
      </c>
      <c r="C267" s="41" t="s">
        <v>55</v>
      </c>
      <c r="D267" s="41">
        <f>2</f>
        <v>2</v>
      </c>
      <c r="E267" s="45">
        <f>ROUND(PI()/2*76/1000*4.11,2)</f>
        <v>0.49</v>
      </c>
      <c r="F267" s="55">
        <f t="shared" si="64"/>
        <v>0.98</v>
      </c>
      <c r="G267" s="41" t="s">
        <v>55</v>
      </c>
      <c r="H267" s="75"/>
      <c r="I267" s="75"/>
      <c r="J267" s="41">
        <f t="shared" si="66"/>
        <v>0</v>
      </c>
      <c r="K267" s="41">
        <f t="shared" si="63"/>
        <v>0</v>
      </c>
      <c r="L267" s="41">
        <f t="shared" si="65"/>
        <v>0</v>
      </c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  <c r="DR267" s="84"/>
      <c r="DS267" s="84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  <c r="FF267" s="84"/>
      <c r="FG267" s="84"/>
      <c r="FH267" s="84"/>
      <c r="FI267" s="84"/>
      <c r="FJ267" s="84"/>
      <c r="FK267" s="84"/>
      <c r="FL267" s="84"/>
      <c r="FM267" s="84"/>
      <c r="FN267" s="84"/>
      <c r="FO267" s="84"/>
      <c r="FP267" s="84"/>
      <c r="FQ267" s="84"/>
      <c r="FR267" s="84"/>
      <c r="FS267" s="84"/>
      <c r="FT267" s="84"/>
      <c r="FU267" s="84"/>
      <c r="FV267" s="84"/>
      <c r="FW267" s="84"/>
      <c r="FX267" s="84"/>
      <c r="FY267" s="84"/>
      <c r="FZ267" s="84"/>
      <c r="GA267" s="84"/>
      <c r="GB267" s="84"/>
      <c r="GC267" s="84"/>
      <c r="GD267" s="84"/>
      <c r="GE267" s="84"/>
      <c r="GF267" s="84"/>
      <c r="GG267" s="84"/>
      <c r="GH267" s="84"/>
      <c r="GI267" s="84"/>
      <c r="GJ267" s="84"/>
      <c r="GK267" s="84"/>
      <c r="GL267" s="84"/>
      <c r="GM267" s="84"/>
      <c r="GN267" s="84"/>
      <c r="GO267" s="84"/>
      <c r="GP267" s="84"/>
      <c r="GQ267" s="84"/>
      <c r="GR267" s="84"/>
      <c r="GS267" s="84"/>
      <c r="GT267" s="84"/>
      <c r="GU267" s="84"/>
      <c r="GV267" s="84"/>
      <c r="GW267" s="84"/>
      <c r="GX267" s="84"/>
      <c r="GY267" s="84"/>
      <c r="GZ267" s="84"/>
      <c r="HA267" s="84"/>
      <c r="HB267" s="84"/>
      <c r="HC267" s="84"/>
      <c r="HD267" s="84"/>
      <c r="HE267" s="84"/>
      <c r="HF267" s="84"/>
      <c r="HG267" s="84"/>
      <c r="HH267" s="84"/>
      <c r="HI267" s="84"/>
      <c r="HJ267" s="84"/>
      <c r="HK267" s="84"/>
      <c r="HL267" s="84"/>
      <c r="HM267" s="84"/>
      <c r="HN267" s="84"/>
      <c r="HO267" s="84"/>
      <c r="HP267" s="84"/>
      <c r="HQ267" s="84"/>
      <c r="HR267" s="84"/>
      <c r="HS267" s="84"/>
      <c r="HT267" s="84"/>
      <c r="HU267" s="84"/>
      <c r="HV267" s="84"/>
      <c r="HW267" s="84"/>
      <c r="HX267" s="84"/>
      <c r="HY267" s="84"/>
      <c r="HZ267" s="84"/>
      <c r="IA267" s="84"/>
      <c r="IB267" s="84"/>
      <c r="IC267" s="84"/>
      <c r="ID267" s="84"/>
      <c r="IE267" s="84"/>
      <c r="IF267" s="84"/>
      <c r="IG267" s="84"/>
      <c r="IH267" s="84"/>
      <c r="II267" s="84"/>
      <c r="IJ267" s="84"/>
    </row>
    <row r="268" spans="1:244" s="43" customFormat="1" ht="38.25" x14ac:dyDescent="0.2">
      <c r="A268" s="54"/>
      <c r="B268" s="44" t="s">
        <v>393</v>
      </c>
      <c r="C268" s="41" t="s">
        <v>55</v>
      </c>
      <c r="D268" s="41">
        <f>4</f>
        <v>4</v>
      </c>
      <c r="E268" s="45">
        <f>ROUND(64/1000*2.93,2)</f>
        <v>0.19</v>
      </c>
      <c r="F268" s="55">
        <f t="shared" si="64"/>
        <v>0.76</v>
      </c>
      <c r="G268" s="41" t="s">
        <v>55</v>
      </c>
      <c r="H268" s="41"/>
      <c r="I268" s="41"/>
      <c r="J268" s="41">
        <f t="shared" si="66"/>
        <v>0</v>
      </c>
      <c r="K268" s="41">
        <f t="shared" si="63"/>
        <v>0</v>
      </c>
      <c r="L268" s="41">
        <f t="shared" si="65"/>
        <v>0</v>
      </c>
    </row>
    <row r="269" spans="1:244" s="81" customFormat="1" ht="38.25" x14ac:dyDescent="0.2">
      <c r="A269" s="54"/>
      <c r="B269" s="44" t="s">
        <v>268</v>
      </c>
      <c r="C269" s="41" t="s">
        <v>55</v>
      </c>
      <c r="D269" s="41">
        <f>6+2</f>
        <v>8</v>
      </c>
      <c r="E269" s="45">
        <f>ROUND(76/1000*4.1,2)</f>
        <v>0.31</v>
      </c>
      <c r="F269" s="55">
        <f t="shared" si="64"/>
        <v>2.48</v>
      </c>
      <c r="G269" s="41" t="s">
        <v>55</v>
      </c>
      <c r="H269" s="41"/>
      <c r="I269" s="41"/>
      <c r="J269" s="41">
        <f t="shared" si="66"/>
        <v>0</v>
      </c>
      <c r="K269" s="41">
        <f t="shared" si="63"/>
        <v>0</v>
      </c>
      <c r="L269" s="41">
        <f t="shared" si="65"/>
        <v>0</v>
      </c>
    </row>
    <row r="270" spans="1:244" s="43" customFormat="1" ht="25.5" x14ac:dyDescent="0.2">
      <c r="A270" s="54"/>
      <c r="B270" s="44" t="s">
        <v>453</v>
      </c>
      <c r="C270" s="41" t="s">
        <v>55</v>
      </c>
      <c r="D270" s="41">
        <f>4</f>
        <v>4</v>
      </c>
      <c r="E270" s="45">
        <v>2</v>
      </c>
      <c r="F270" s="55">
        <f>D270*E270</f>
        <v>8</v>
      </c>
      <c r="G270" s="41" t="s">
        <v>55</v>
      </c>
      <c r="H270" s="41"/>
      <c r="I270" s="41"/>
      <c r="J270" s="41">
        <f t="shared" si="66"/>
        <v>0</v>
      </c>
      <c r="K270" s="41">
        <f t="shared" si="63"/>
        <v>0</v>
      </c>
      <c r="L270" s="41">
        <f>J270+K270</f>
        <v>0</v>
      </c>
    </row>
    <row r="271" spans="1:244" s="81" customFormat="1" ht="25.5" x14ac:dyDescent="0.2">
      <c r="A271" s="54"/>
      <c r="B271" s="44" t="s">
        <v>269</v>
      </c>
      <c r="C271" s="41" t="s">
        <v>55</v>
      </c>
      <c r="D271" s="41">
        <f>4</f>
        <v>4</v>
      </c>
      <c r="E271" s="45">
        <v>2</v>
      </c>
      <c r="F271" s="55">
        <f>D271*E271</f>
        <v>8</v>
      </c>
      <c r="G271" s="41" t="s">
        <v>55</v>
      </c>
      <c r="H271" s="41"/>
      <c r="I271" s="41"/>
      <c r="J271" s="41">
        <f t="shared" si="66"/>
        <v>0</v>
      </c>
      <c r="K271" s="41">
        <f t="shared" si="63"/>
        <v>0</v>
      </c>
      <c r="L271" s="41">
        <f>J271+K271</f>
        <v>0</v>
      </c>
    </row>
    <row r="272" spans="1:244" s="43" customFormat="1" ht="25.5" x14ac:dyDescent="0.2">
      <c r="A272" s="54"/>
      <c r="B272" s="44" t="s">
        <v>452</v>
      </c>
      <c r="C272" s="41" t="s">
        <v>55</v>
      </c>
      <c r="D272" s="41">
        <f>6</f>
        <v>6</v>
      </c>
      <c r="E272" s="45">
        <v>2.79</v>
      </c>
      <c r="F272" s="55">
        <f>D272*E272</f>
        <v>16.740000000000002</v>
      </c>
      <c r="G272" s="41" t="s">
        <v>55</v>
      </c>
      <c r="H272" s="41"/>
      <c r="I272" s="41"/>
      <c r="J272" s="41">
        <f t="shared" si="66"/>
        <v>0</v>
      </c>
      <c r="K272" s="41">
        <f t="shared" si="63"/>
        <v>0</v>
      </c>
      <c r="L272" s="41">
        <f>J272+K272</f>
        <v>0</v>
      </c>
    </row>
    <row r="273" spans="1:244" s="81" customFormat="1" ht="25.5" x14ac:dyDescent="0.2">
      <c r="A273" s="54"/>
      <c r="B273" s="40" t="s">
        <v>270</v>
      </c>
      <c r="C273" s="41" t="s">
        <v>55</v>
      </c>
      <c r="D273" s="41">
        <f>4</f>
        <v>4</v>
      </c>
      <c r="E273" s="45">
        <v>0.36</v>
      </c>
      <c r="F273" s="45">
        <f t="shared" si="64"/>
        <v>1.44</v>
      </c>
      <c r="G273" s="41" t="s">
        <v>55</v>
      </c>
      <c r="H273" s="41"/>
      <c r="I273" s="41"/>
      <c r="J273" s="41">
        <f t="shared" ref="J273:K276" si="67">$D273*H273</f>
        <v>0</v>
      </c>
      <c r="K273" s="41">
        <f t="shared" si="67"/>
        <v>0</v>
      </c>
      <c r="L273" s="41">
        <f t="shared" si="65"/>
        <v>0</v>
      </c>
    </row>
    <row r="274" spans="1:244" s="81" customFormat="1" ht="28.5" x14ac:dyDescent="0.2">
      <c r="A274" s="54"/>
      <c r="B274" s="44" t="s">
        <v>271</v>
      </c>
      <c r="C274" s="41" t="s">
        <v>55</v>
      </c>
      <c r="D274" s="41">
        <f>2</f>
        <v>2</v>
      </c>
      <c r="E274" s="45">
        <v>7.6999999999999999E-2</v>
      </c>
      <c r="F274" s="45">
        <f t="shared" si="64"/>
        <v>0.154</v>
      </c>
      <c r="G274" s="41" t="s">
        <v>55</v>
      </c>
      <c r="H274" s="41"/>
      <c r="I274" s="41"/>
      <c r="J274" s="41">
        <f t="shared" si="67"/>
        <v>0</v>
      </c>
      <c r="K274" s="41">
        <f t="shared" si="67"/>
        <v>0</v>
      </c>
      <c r="L274" s="41">
        <f t="shared" si="65"/>
        <v>0</v>
      </c>
    </row>
    <row r="275" spans="1:244" s="81" customFormat="1" ht="28.5" x14ac:dyDescent="0.2">
      <c r="A275" s="54"/>
      <c r="B275" s="44" t="s">
        <v>272</v>
      </c>
      <c r="C275" s="41" t="s">
        <v>55</v>
      </c>
      <c r="D275" s="41">
        <f>4</f>
        <v>4</v>
      </c>
      <c r="E275" s="45">
        <v>0.14399999999999999</v>
      </c>
      <c r="F275" s="45">
        <f t="shared" si="64"/>
        <v>0.57599999999999996</v>
      </c>
      <c r="G275" s="41" t="s">
        <v>55</v>
      </c>
      <c r="H275" s="41"/>
      <c r="I275" s="41"/>
      <c r="J275" s="41">
        <f t="shared" si="67"/>
        <v>0</v>
      </c>
      <c r="K275" s="41">
        <f t="shared" si="67"/>
        <v>0</v>
      </c>
      <c r="L275" s="41">
        <f t="shared" si="65"/>
        <v>0</v>
      </c>
    </row>
    <row r="276" spans="1:244" s="81" customFormat="1" ht="25.5" x14ac:dyDescent="0.2">
      <c r="A276" s="54"/>
      <c r="B276" s="44" t="s">
        <v>273</v>
      </c>
      <c r="C276" s="41" t="s">
        <v>55</v>
      </c>
      <c r="D276" s="41">
        <f>4</f>
        <v>4</v>
      </c>
      <c r="E276" s="45">
        <v>0.252</v>
      </c>
      <c r="F276" s="45">
        <f t="shared" si="64"/>
        <v>1.008</v>
      </c>
      <c r="G276" s="41" t="s">
        <v>55</v>
      </c>
      <c r="H276" s="41"/>
      <c r="I276" s="41"/>
      <c r="J276" s="41">
        <f t="shared" si="67"/>
        <v>0</v>
      </c>
      <c r="K276" s="41">
        <f t="shared" si="67"/>
        <v>0</v>
      </c>
      <c r="L276" s="41">
        <f t="shared" si="65"/>
        <v>0</v>
      </c>
    </row>
    <row r="277" spans="1:244" s="81" customFormat="1" x14ac:dyDescent="0.2">
      <c r="A277" s="84"/>
      <c r="B277" s="85"/>
      <c r="C277" s="41"/>
      <c r="D277" s="41"/>
      <c r="E277" s="45"/>
      <c r="F277" s="41"/>
      <c r="G277" s="41"/>
      <c r="H277" s="75"/>
      <c r="I277" s="75"/>
      <c r="J277" s="41"/>
      <c r="K277" s="41"/>
      <c r="L277" s="41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  <c r="FP277" s="84"/>
      <c r="FQ277" s="84"/>
      <c r="FR277" s="84"/>
      <c r="FS277" s="84"/>
      <c r="FT277" s="84"/>
      <c r="FU277" s="84"/>
      <c r="FV277" s="84"/>
      <c r="FW277" s="84"/>
      <c r="FX277" s="84"/>
      <c r="FY277" s="84"/>
      <c r="FZ277" s="84"/>
      <c r="GA277" s="84"/>
      <c r="GB277" s="84"/>
      <c r="GC277" s="84"/>
      <c r="GD277" s="84"/>
      <c r="GE277" s="84"/>
      <c r="GF277" s="84"/>
      <c r="GG277" s="84"/>
      <c r="GH277" s="84"/>
      <c r="GI277" s="84"/>
      <c r="GJ277" s="84"/>
      <c r="GK277" s="84"/>
      <c r="GL277" s="84"/>
      <c r="GM277" s="84"/>
      <c r="GN277" s="84"/>
      <c r="GO277" s="84"/>
      <c r="GP277" s="84"/>
      <c r="GQ277" s="84"/>
      <c r="GR277" s="84"/>
      <c r="GS277" s="84"/>
      <c r="GT277" s="84"/>
      <c r="GU277" s="84"/>
      <c r="GV277" s="84"/>
      <c r="GW277" s="84"/>
      <c r="GX277" s="84"/>
      <c r="GY277" s="84"/>
      <c r="GZ277" s="84"/>
      <c r="HA277" s="84"/>
      <c r="HB277" s="84"/>
      <c r="HC277" s="84"/>
      <c r="HD277" s="84"/>
      <c r="HE277" s="84"/>
      <c r="HF277" s="84"/>
      <c r="HG277" s="84"/>
      <c r="HH277" s="84"/>
      <c r="HI277" s="84"/>
      <c r="HJ277" s="84"/>
      <c r="HK277" s="84"/>
      <c r="HL277" s="84"/>
      <c r="HM277" s="84"/>
      <c r="HN277" s="84"/>
      <c r="HO277" s="84"/>
      <c r="HP277" s="84"/>
      <c r="HQ277" s="84"/>
      <c r="HR277" s="84"/>
      <c r="HS277" s="84"/>
      <c r="HT277" s="84"/>
      <c r="HU277" s="84"/>
      <c r="HV277" s="84"/>
      <c r="HW277" s="84"/>
      <c r="HX277" s="84"/>
      <c r="HY277" s="84"/>
      <c r="HZ277" s="84"/>
      <c r="IA277" s="84"/>
      <c r="IB277" s="84"/>
      <c r="IC277" s="84"/>
      <c r="ID277" s="84"/>
      <c r="IE277" s="84"/>
      <c r="IF277" s="84"/>
      <c r="IG277" s="84"/>
      <c r="IH277" s="84"/>
      <c r="II277" s="84"/>
      <c r="IJ277" s="84"/>
    </row>
    <row r="278" spans="1:244" s="81" customFormat="1" x14ac:dyDescent="0.2">
      <c r="A278" s="54"/>
      <c r="B278" s="94" t="s">
        <v>277</v>
      </c>
      <c r="C278" s="41"/>
      <c r="D278" s="41"/>
      <c r="E278" s="45"/>
      <c r="F278" s="55"/>
      <c r="G278" s="41"/>
      <c r="H278" s="41"/>
      <c r="I278" s="41"/>
      <c r="J278" s="41"/>
      <c r="K278" s="41"/>
      <c r="L278" s="41"/>
    </row>
    <row r="279" spans="1:244" s="43" customFormat="1" ht="28.5" x14ac:dyDescent="0.2">
      <c r="A279" s="54"/>
      <c r="B279" s="44" t="s">
        <v>467</v>
      </c>
      <c r="C279" s="41" t="s">
        <v>70</v>
      </c>
      <c r="D279" s="46">
        <f>2</f>
        <v>2</v>
      </c>
      <c r="E279" s="45">
        <f>0.164</f>
        <v>0.16400000000000001</v>
      </c>
      <c r="F279" s="55">
        <f>D279*E279</f>
        <v>0.32800000000000001</v>
      </c>
      <c r="G279" s="41" t="s">
        <v>164</v>
      </c>
      <c r="H279" s="41"/>
      <c r="I279" s="41"/>
      <c r="J279" s="41">
        <f>$D279*H279</f>
        <v>0</v>
      </c>
      <c r="K279" s="41">
        <f>$D279*I279</f>
        <v>0</v>
      </c>
      <c r="L279" s="41">
        <f>J279+K279</f>
        <v>0</v>
      </c>
    </row>
    <row r="280" spans="1:244" s="81" customFormat="1" ht="25.5" x14ac:dyDescent="0.2">
      <c r="A280" s="54"/>
      <c r="B280" s="44" t="s">
        <v>468</v>
      </c>
      <c r="C280" s="41" t="s">
        <v>70</v>
      </c>
      <c r="D280" s="46">
        <f>CEILING((3+2+2+1),1)</f>
        <v>8</v>
      </c>
      <c r="E280" s="45">
        <f>0.261</f>
        <v>0.26100000000000001</v>
      </c>
      <c r="F280" s="55">
        <f t="shared" ref="F280:F285" si="68">D280*E280</f>
        <v>2.0880000000000001</v>
      </c>
      <c r="G280" s="41" t="s">
        <v>164</v>
      </c>
      <c r="H280" s="41"/>
      <c r="I280" s="41"/>
      <c r="J280" s="41">
        <f t="shared" ref="J280:K295" si="69">$D280*H280</f>
        <v>0</v>
      </c>
      <c r="K280" s="41">
        <f t="shared" si="69"/>
        <v>0</v>
      </c>
      <c r="L280" s="41">
        <f t="shared" ref="L280:L285" si="70">J280+K280</f>
        <v>0</v>
      </c>
    </row>
    <row r="281" spans="1:244" s="81" customFormat="1" ht="28.5" x14ac:dyDescent="0.2">
      <c r="A281" s="54"/>
      <c r="B281" s="44" t="s">
        <v>469</v>
      </c>
      <c r="C281" s="41" t="s">
        <v>70</v>
      </c>
      <c r="D281" s="46">
        <f>CEILING((4+5+2*2.75+0.5+3.5+2),1)</f>
        <v>21</v>
      </c>
      <c r="E281" s="45">
        <f>0.412</f>
        <v>0.41199999999999998</v>
      </c>
      <c r="F281" s="55">
        <f t="shared" si="68"/>
        <v>8.6519999999999992</v>
      </c>
      <c r="G281" s="41" t="s">
        <v>164</v>
      </c>
      <c r="H281" s="41"/>
      <c r="I281" s="41"/>
      <c r="J281" s="41">
        <f t="shared" si="69"/>
        <v>0</v>
      </c>
      <c r="K281" s="41">
        <f t="shared" si="69"/>
        <v>0</v>
      </c>
      <c r="L281" s="41">
        <f t="shared" si="70"/>
        <v>0</v>
      </c>
    </row>
    <row r="282" spans="1:244" s="81" customFormat="1" ht="25.5" x14ac:dyDescent="0.2">
      <c r="A282" s="54"/>
      <c r="B282" s="44" t="s">
        <v>470</v>
      </c>
      <c r="C282" s="41" t="s">
        <v>70</v>
      </c>
      <c r="D282" s="46">
        <f>CEILING((0.5+3+0.5+1.2+3.2+6.5+1),1)</f>
        <v>16</v>
      </c>
      <c r="E282" s="45">
        <f>1.01</f>
        <v>1.01</v>
      </c>
      <c r="F282" s="55">
        <f t="shared" si="68"/>
        <v>16.16</v>
      </c>
      <c r="G282" s="41" t="s">
        <v>164</v>
      </c>
      <c r="H282" s="41"/>
      <c r="I282" s="41"/>
      <c r="J282" s="41">
        <f t="shared" si="69"/>
        <v>0</v>
      </c>
      <c r="K282" s="41">
        <f t="shared" si="69"/>
        <v>0</v>
      </c>
      <c r="L282" s="41">
        <f t="shared" si="70"/>
        <v>0</v>
      </c>
    </row>
    <row r="283" spans="1:244" s="43" customFormat="1" x14ac:dyDescent="0.2">
      <c r="A283" s="54"/>
      <c r="B283" s="44" t="s">
        <v>455</v>
      </c>
      <c r="C283" s="42" t="s">
        <v>55</v>
      </c>
      <c r="D283" s="46">
        <f>2+2</f>
        <v>4</v>
      </c>
      <c r="E283" s="45">
        <v>2.9000000000000001E-2</v>
      </c>
      <c r="F283" s="55">
        <f t="shared" si="68"/>
        <v>0.11600000000000001</v>
      </c>
      <c r="G283" s="42" t="s">
        <v>55</v>
      </c>
      <c r="H283" s="41"/>
      <c r="I283" s="41"/>
      <c r="J283" s="41">
        <f t="shared" si="69"/>
        <v>0</v>
      </c>
      <c r="K283" s="41">
        <f t="shared" si="69"/>
        <v>0</v>
      </c>
      <c r="L283" s="41">
        <f t="shared" si="70"/>
        <v>0</v>
      </c>
    </row>
    <row r="284" spans="1:244" s="43" customFormat="1" x14ac:dyDescent="0.2">
      <c r="A284" s="54"/>
      <c r="B284" s="44" t="s">
        <v>285</v>
      </c>
      <c r="C284" s="42" t="s">
        <v>55</v>
      </c>
      <c r="D284" s="46">
        <f>6+0</f>
        <v>6</v>
      </c>
      <c r="E284" s="45">
        <v>4.3999999999999997E-2</v>
      </c>
      <c r="F284" s="55">
        <f t="shared" si="68"/>
        <v>0.26400000000000001</v>
      </c>
      <c r="G284" s="42" t="s">
        <v>55</v>
      </c>
      <c r="H284" s="41"/>
      <c r="I284" s="41"/>
      <c r="J284" s="41">
        <f t="shared" si="69"/>
        <v>0</v>
      </c>
      <c r="K284" s="41">
        <f t="shared" si="69"/>
        <v>0</v>
      </c>
      <c r="L284" s="41">
        <f t="shared" si="70"/>
        <v>0</v>
      </c>
    </row>
    <row r="285" spans="1:244" s="81" customFormat="1" x14ac:dyDescent="0.2">
      <c r="A285" s="54"/>
      <c r="B285" s="44" t="s">
        <v>278</v>
      </c>
      <c r="C285" s="42" t="s">
        <v>55</v>
      </c>
      <c r="D285" s="46">
        <f>6</f>
        <v>6</v>
      </c>
      <c r="E285" s="45">
        <v>7.3999999999999996E-2</v>
      </c>
      <c r="F285" s="55">
        <f t="shared" si="68"/>
        <v>0.44399999999999995</v>
      </c>
      <c r="G285" s="42" t="s">
        <v>55</v>
      </c>
      <c r="H285" s="41"/>
      <c r="I285" s="41"/>
      <c r="J285" s="41">
        <f t="shared" si="69"/>
        <v>0</v>
      </c>
      <c r="K285" s="41">
        <f t="shared" si="69"/>
        <v>0</v>
      </c>
      <c r="L285" s="41">
        <f t="shared" si="70"/>
        <v>0</v>
      </c>
    </row>
    <row r="286" spans="1:244" s="81" customFormat="1" x14ac:dyDescent="0.2">
      <c r="A286" s="54"/>
      <c r="B286" s="44" t="s">
        <v>279</v>
      </c>
      <c r="C286" s="42" t="s">
        <v>55</v>
      </c>
      <c r="D286" s="46">
        <f>5+6</f>
        <v>11</v>
      </c>
      <c r="E286" s="45">
        <v>0.23</v>
      </c>
      <c r="F286" s="55">
        <f t="shared" ref="F286:F305" si="71">D286*E286</f>
        <v>2.5300000000000002</v>
      </c>
      <c r="G286" s="42" t="s">
        <v>55</v>
      </c>
      <c r="H286" s="41"/>
      <c r="I286" s="41"/>
      <c r="J286" s="41">
        <f t="shared" ref="J286:K305" si="72">$D286*H286</f>
        <v>0</v>
      </c>
      <c r="K286" s="41">
        <f t="shared" si="69"/>
        <v>0</v>
      </c>
      <c r="L286" s="41">
        <f t="shared" ref="L286:L305" si="73">J286+K286</f>
        <v>0</v>
      </c>
    </row>
    <row r="287" spans="1:244" s="43" customFormat="1" x14ac:dyDescent="0.2">
      <c r="A287" s="54"/>
      <c r="B287" s="44" t="s">
        <v>456</v>
      </c>
      <c r="C287" s="42" t="s">
        <v>55</v>
      </c>
      <c r="D287" s="46">
        <f>3+1</f>
        <v>4</v>
      </c>
      <c r="E287" s="45">
        <v>5.7000000000000002E-2</v>
      </c>
      <c r="F287" s="55">
        <f t="shared" si="71"/>
        <v>0.22800000000000001</v>
      </c>
      <c r="G287" s="42" t="s">
        <v>55</v>
      </c>
      <c r="H287" s="41"/>
      <c r="I287" s="41"/>
      <c r="J287" s="41">
        <f t="shared" si="72"/>
        <v>0</v>
      </c>
      <c r="K287" s="41">
        <f t="shared" si="69"/>
        <v>0</v>
      </c>
      <c r="L287" s="41">
        <f t="shared" si="73"/>
        <v>0</v>
      </c>
    </row>
    <row r="288" spans="1:244" s="43" customFormat="1" x14ac:dyDescent="0.2">
      <c r="A288" s="54"/>
      <c r="B288" s="44" t="s">
        <v>286</v>
      </c>
      <c r="C288" s="42" t="s">
        <v>55</v>
      </c>
      <c r="D288" s="46">
        <f>2+1</f>
        <v>3</v>
      </c>
      <c r="E288" s="45">
        <v>9.5000000000000001E-2</v>
      </c>
      <c r="F288" s="55">
        <f t="shared" si="71"/>
        <v>0.28500000000000003</v>
      </c>
      <c r="G288" s="42" t="s">
        <v>55</v>
      </c>
      <c r="H288" s="41"/>
      <c r="I288" s="41"/>
      <c r="J288" s="41">
        <f t="shared" si="72"/>
        <v>0</v>
      </c>
      <c r="K288" s="41">
        <f t="shared" si="69"/>
        <v>0</v>
      </c>
      <c r="L288" s="41">
        <f t="shared" si="73"/>
        <v>0</v>
      </c>
    </row>
    <row r="289" spans="1:12" s="81" customFormat="1" x14ac:dyDescent="0.2">
      <c r="A289" s="54"/>
      <c r="B289" s="44" t="s">
        <v>287</v>
      </c>
      <c r="C289" s="42" t="s">
        <v>55</v>
      </c>
      <c r="D289" s="46">
        <f>6</f>
        <v>6</v>
      </c>
      <c r="E289" s="45">
        <v>0.28599999999999998</v>
      </c>
      <c r="F289" s="55">
        <f t="shared" si="71"/>
        <v>1.7159999999999997</v>
      </c>
      <c r="G289" s="42" t="s">
        <v>55</v>
      </c>
      <c r="H289" s="41"/>
      <c r="I289" s="41"/>
      <c r="J289" s="41">
        <f t="shared" si="72"/>
        <v>0</v>
      </c>
      <c r="K289" s="41">
        <f t="shared" si="69"/>
        <v>0</v>
      </c>
      <c r="L289" s="41">
        <f t="shared" si="73"/>
        <v>0</v>
      </c>
    </row>
    <row r="290" spans="1:12" s="43" customFormat="1" x14ac:dyDescent="0.2">
      <c r="A290" s="54"/>
      <c r="B290" s="44" t="s">
        <v>475</v>
      </c>
      <c r="C290" s="42" t="s">
        <v>55</v>
      </c>
      <c r="D290" s="46">
        <f>1</f>
        <v>1</v>
      </c>
      <c r="E290" s="45">
        <v>1.9E-2</v>
      </c>
      <c r="F290" s="55">
        <f t="shared" si="71"/>
        <v>1.9E-2</v>
      </c>
      <c r="G290" s="42" t="s">
        <v>55</v>
      </c>
      <c r="H290" s="41"/>
      <c r="I290" s="41"/>
      <c r="J290" s="41">
        <f t="shared" si="72"/>
        <v>0</v>
      </c>
      <c r="K290" s="41">
        <f t="shared" si="69"/>
        <v>0</v>
      </c>
      <c r="L290" s="41">
        <f t="shared" si="73"/>
        <v>0</v>
      </c>
    </row>
    <row r="291" spans="1:12" s="43" customFormat="1" x14ac:dyDescent="0.2">
      <c r="A291" s="54"/>
      <c r="B291" s="44" t="s">
        <v>465</v>
      </c>
      <c r="C291" s="42" t="s">
        <v>55</v>
      </c>
      <c r="D291" s="46">
        <f>1</f>
        <v>1</v>
      </c>
      <c r="E291" s="45">
        <v>0.03</v>
      </c>
      <c r="F291" s="55">
        <f t="shared" si="71"/>
        <v>0.03</v>
      </c>
      <c r="G291" s="42" t="s">
        <v>55</v>
      </c>
      <c r="H291" s="41"/>
      <c r="I291" s="41"/>
      <c r="J291" s="41">
        <f t="shared" si="72"/>
        <v>0</v>
      </c>
      <c r="K291" s="41">
        <f t="shared" si="69"/>
        <v>0</v>
      </c>
      <c r="L291" s="41">
        <f t="shared" si="73"/>
        <v>0</v>
      </c>
    </row>
    <row r="292" spans="1:12" s="43" customFormat="1" x14ac:dyDescent="0.2">
      <c r="A292" s="54"/>
      <c r="B292" s="44" t="s">
        <v>476</v>
      </c>
      <c r="C292" s="42" t="s">
        <v>55</v>
      </c>
      <c r="D292" s="46">
        <f>1+2</f>
        <v>3</v>
      </c>
      <c r="E292" s="45">
        <v>5.3999999999999999E-2</v>
      </c>
      <c r="F292" s="55">
        <f t="shared" si="71"/>
        <v>0.16200000000000001</v>
      </c>
      <c r="G292" s="42" t="s">
        <v>55</v>
      </c>
      <c r="H292" s="41"/>
      <c r="I292" s="41"/>
      <c r="J292" s="41">
        <f t="shared" si="72"/>
        <v>0</v>
      </c>
      <c r="K292" s="41">
        <f t="shared" si="69"/>
        <v>0</v>
      </c>
      <c r="L292" s="41">
        <f t="shared" si="73"/>
        <v>0</v>
      </c>
    </row>
    <row r="293" spans="1:12" s="43" customFormat="1" x14ac:dyDescent="0.2">
      <c r="A293" s="54"/>
      <c r="B293" s="44" t="s">
        <v>477</v>
      </c>
      <c r="C293" s="42" t="s">
        <v>55</v>
      </c>
      <c r="D293" s="46">
        <f>1</f>
        <v>1</v>
      </c>
      <c r="E293" s="45">
        <v>6.2E-2</v>
      </c>
      <c r="F293" s="55">
        <f t="shared" si="71"/>
        <v>6.2E-2</v>
      </c>
      <c r="G293" s="42" t="s">
        <v>55</v>
      </c>
      <c r="H293" s="41"/>
      <c r="I293" s="41"/>
      <c r="J293" s="41">
        <f t="shared" si="72"/>
        <v>0</v>
      </c>
      <c r="K293" s="41">
        <f t="shared" si="69"/>
        <v>0</v>
      </c>
      <c r="L293" s="41">
        <f t="shared" si="73"/>
        <v>0</v>
      </c>
    </row>
    <row r="294" spans="1:12" s="43" customFormat="1" x14ac:dyDescent="0.2">
      <c r="A294" s="54"/>
      <c r="B294" s="44" t="s">
        <v>478</v>
      </c>
      <c r="C294" s="42" t="s">
        <v>55</v>
      </c>
      <c r="D294" s="46">
        <f>1</f>
        <v>1</v>
      </c>
      <c r="E294" s="45">
        <v>6.8000000000000005E-2</v>
      </c>
      <c r="F294" s="55">
        <f t="shared" si="71"/>
        <v>6.8000000000000005E-2</v>
      </c>
      <c r="G294" s="42" t="s">
        <v>55</v>
      </c>
      <c r="H294" s="41"/>
      <c r="I294" s="41"/>
      <c r="J294" s="41">
        <f t="shared" si="72"/>
        <v>0</v>
      </c>
      <c r="K294" s="41">
        <f t="shared" si="69"/>
        <v>0</v>
      </c>
      <c r="L294" s="41">
        <f t="shared" si="73"/>
        <v>0</v>
      </c>
    </row>
    <row r="295" spans="1:12" s="43" customFormat="1" x14ac:dyDescent="0.2">
      <c r="A295" s="54"/>
      <c r="B295" s="44" t="s">
        <v>485</v>
      </c>
      <c r="C295" s="42" t="s">
        <v>55</v>
      </c>
      <c r="D295" s="46">
        <f>1</f>
        <v>1</v>
      </c>
      <c r="E295" s="45">
        <v>9.8000000000000004E-2</v>
      </c>
      <c r="F295" s="55">
        <f t="shared" si="71"/>
        <v>9.8000000000000004E-2</v>
      </c>
      <c r="G295" s="42" t="s">
        <v>55</v>
      </c>
      <c r="H295" s="41"/>
      <c r="I295" s="41"/>
      <c r="J295" s="41">
        <f t="shared" si="72"/>
        <v>0</v>
      </c>
      <c r="K295" s="41">
        <f t="shared" si="69"/>
        <v>0</v>
      </c>
      <c r="L295" s="41">
        <f t="shared" si="73"/>
        <v>0</v>
      </c>
    </row>
    <row r="296" spans="1:12" s="43" customFormat="1" x14ac:dyDescent="0.2">
      <c r="A296" s="54"/>
      <c r="B296" s="44" t="s">
        <v>474</v>
      </c>
      <c r="C296" s="42" t="s">
        <v>55</v>
      </c>
      <c r="D296" s="46">
        <v>1</v>
      </c>
      <c r="E296" s="45">
        <v>0.01</v>
      </c>
      <c r="F296" s="55">
        <f t="shared" si="71"/>
        <v>0.01</v>
      </c>
      <c r="G296" s="42" t="s">
        <v>55</v>
      </c>
      <c r="H296" s="41"/>
      <c r="I296" s="41"/>
      <c r="J296" s="41">
        <f t="shared" si="72"/>
        <v>0</v>
      </c>
      <c r="K296" s="41">
        <f t="shared" si="72"/>
        <v>0</v>
      </c>
      <c r="L296" s="41">
        <f t="shared" si="73"/>
        <v>0</v>
      </c>
    </row>
    <row r="297" spans="1:12" s="43" customFormat="1" x14ac:dyDescent="0.2">
      <c r="A297" s="54"/>
      <c r="B297" s="44" t="s">
        <v>466</v>
      </c>
      <c r="C297" s="42" t="s">
        <v>55</v>
      </c>
      <c r="D297" s="46">
        <f>1</f>
        <v>1</v>
      </c>
      <c r="E297" s="45">
        <v>1.7000000000000001E-2</v>
      </c>
      <c r="F297" s="55">
        <f t="shared" si="71"/>
        <v>1.7000000000000001E-2</v>
      </c>
      <c r="G297" s="42" t="s">
        <v>55</v>
      </c>
      <c r="H297" s="41"/>
      <c r="I297" s="41"/>
      <c r="J297" s="41">
        <f t="shared" si="72"/>
        <v>0</v>
      </c>
      <c r="K297" s="41">
        <f t="shared" si="72"/>
        <v>0</v>
      </c>
      <c r="L297" s="41">
        <f t="shared" si="73"/>
        <v>0</v>
      </c>
    </row>
    <row r="298" spans="1:12" s="43" customFormat="1" x14ac:dyDescent="0.2">
      <c r="A298" s="54"/>
      <c r="B298" s="44" t="s">
        <v>486</v>
      </c>
      <c r="C298" s="42" t="s">
        <v>55</v>
      </c>
      <c r="D298" s="46">
        <f>1</f>
        <v>1</v>
      </c>
      <c r="E298" s="45">
        <v>9.6000000000000002E-2</v>
      </c>
      <c r="F298" s="55">
        <f t="shared" ref="F298" si="74">D298*E298</f>
        <v>9.6000000000000002E-2</v>
      </c>
      <c r="G298" s="42" t="s">
        <v>55</v>
      </c>
      <c r="H298" s="41"/>
      <c r="I298" s="41"/>
      <c r="J298" s="41">
        <f t="shared" ref="J298" si="75">$D298*H298</f>
        <v>0</v>
      </c>
      <c r="K298" s="41">
        <f t="shared" si="72"/>
        <v>0</v>
      </c>
      <c r="L298" s="41">
        <f t="shared" ref="L298" si="76">J298+K298</f>
        <v>0</v>
      </c>
    </row>
    <row r="299" spans="1:12" s="43" customFormat="1" x14ac:dyDescent="0.2">
      <c r="A299" s="54"/>
      <c r="B299" s="44" t="s">
        <v>454</v>
      </c>
      <c r="C299" s="42" t="s">
        <v>55</v>
      </c>
      <c r="D299" s="46">
        <f>CEILING(D279/3,1)</f>
        <v>1</v>
      </c>
      <c r="E299" s="45">
        <v>1.9E-2</v>
      </c>
      <c r="F299" s="55">
        <f t="shared" si="71"/>
        <v>1.9E-2</v>
      </c>
      <c r="G299" s="42" t="s">
        <v>55</v>
      </c>
      <c r="H299" s="41"/>
      <c r="I299" s="41"/>
      <c r="J299" s="41">
        <f t="shared" si="72"/>
        <v>0</v>
      </c>
      <c r="K299" s="41">
        <f t="shared" si="72"/>
        <v>0</v>
      </c>
      <c r="L299" s="41">
        <f t="shared" si="73"/>
        <v>0</v>
      </c>
    </row>
    <row r="300" spans="1:12" s="81" customFormat="1" x14ac:dyDescent="0.2">
      <c r="A300" s="54"/>
      <c r="B300" s="44" t="s">
        <v>283</v>
      </c>
      <c r="C300" s="42" t="s">
        <v>55</v>
      </c>
      <c r="D300" s="46">
        <f>CEILING(D280/3,1)</f>
        <v>3</v>
      </c>
      <c r="E300" s="45">
        <v>2.5999999999999999E-2</v>
      </c>
      <c r="F300" s="55">
        <f t="shared" si="71"/>
        <v>7.8E-2</v>
      </c>
      <c r="G300" s="42" t="s">
        <v>55</v>
      </c>
      <c r="H300" s="41"/>
      <c r="I300" s="41"/>
      <c r="J300" s="41">
        <f t="shared" si="72"/>
        <v>0</v>
      </c>
      <c r="K300" s="41">
        <f t="shared" si="72"/>
        <v>0</v>
      </c>
      <c r="L300" s="41">
        <f t="shared" si="73"/>
        <v>0</v>
      </c>
    </row>
    <row r="301" spans="1:12" s="81" customFormat="1" x14ac:dyDescent="0.2">
      <c r="A301" s="54"/>
      <c r="B301" s="44" t="s">
        <v>281</v>
      </c>
      <c r="C301" s="42" t="s">
        <v>55</v>
      </c>
      <c r="D301" s="46">
        <f>CEILING(D281/3,1)</f>
        <v>7</v>
      </c>
      <c r="E301" s="45">
        <v>4.1000000000000002E-2</v>
      </c>
      <c r="F301" s="55">
        <f t="shared" si="71"/>
        <v>0.28700000000000003</v>
      </c>
      <c r="G301" s="42" t="s">
        <v>55</v>
      </c>
      <c r="H301" s="41"/>
      <c r="I301" s="41"/>
      <c r="J301" s="41">
        <f t="shared" si="72"/>
        <v>0</v>
      </c>
      <c r="K301" s="41">
        <f t="shared" si="72"/>
        <v>0</v>
      </c>
      <c r="L301" s="41">
        <f t="shared" si="73"/>
        <v>0</v>
      </c>
    </row>
    <row r="302" spans="1:12" s="81" customFormat="1" x14ac:dyDescent="0.2">
      <c r="A302" s="54"/>
      <c r="B302" s="44" t="s">
        <v>282</v>
      </c>
      <c r="C302" s="42" t="s">
        <v>55</v>
      </c>
      <c r="D302" s="46">
        <f>CEILING(D282/3,1)</f>
        <v>6</v>
      </c>
      <c r="E302" s="45">
        <v>0.11799999999999999</v>
      </c>
      <c r="F302" s="55">
        <f t="shared" si="71"/>
        <v>0.70799999999999996</v>
      </c>
      <c r="G302" s="42" t="s">
        <v>55</v>
      </c>
      <c r="H302" s="41"/>
      <c r="I302" s="41"/>
      <c r="J302" s="41">
        <f t="shared" si="72"/>
        <v>0</v>
      </c>
      <c r="K302" s="41">
        <f t="shared" si="72"/>
        <v>0</v>
      </c>
      <c r="L302" s="41">
        <f t="shared" si="73"/>
        <v>0</v>
      </c>
    </row>
    <row r="303" spans="1:12" s="81" customFormat="1" x14ac:dyDescent="0.2">
      <c r="A303" s="54"/>
      <c r="B303" s="44" t="s">
        <v>280</v>
      </c>
      <c r="C303" s="42" t="s">
        <v>55</v>
      </c>
      <c r="D303" s="46">
        <f>1</f>
        <v>1</v>
      </c>
      <c r="E303" s="45">
        <v>0.10199999999999999</v>
      </c>
      <c r="F303" s="55">
        <f t="shared" si="71"/>
        <v>0.10199999999999999</v>
      </c>
      <c r="G303" s="42" t="s">
        <v>55</v>
      </c>
      <c r="H303" s="41"/>
      <c r="I303" s="41"/>
      <c r="J303" s="41">
        <f t="shared" si="72"/>
        <v>0</v>
      </c>
      <c r="K303" s="41">
        <f t="shared" si="72"/>
        <v>0</v>
      </c>
      <c r="L303" s="41">
        <f t="shared" si="73"/>
        <v>0</v>
      </c>
    </row>
    <row r="304" spans="1:12" s="43" customFormat="1" x14ac:dyDescent="0.2">
      <c r="A304" s="54"/>
      <c r="B304" s="44" t="s">
        <v>483</v>
      </c>
      <c r="C304" s="42" t="s">
        <v>55</v>
      </c>
      <c r="D304" s="46">
        <v>1</v>
      </c>
      <c r="E304" s="45">
        <v>1.3</v>
      </c>
      <c r="F304" s="55">
        <f t="shared" si="71"/>
        <v>1.3</v>
      </c>
      <c r="G304" s="42" t="s">
        <v>55</v>
      </c>
      <c r="H304" s="41"/>
      <c r="I304" s="41"/>
      <c r="J304" s="41">
        <f t="shared" si="72"/>
        <v>0</v>
      </c>
      <c r="K304" s="41">
        <f t="shared" si="72"/>
        <v>0</v>
      </c>
      <c r="L304" s="41">
        <f t="shared" si="73"/>
        <v>0</v>
      </c>
    </row>
    <row r="305" spans="1:244" s="43" customFormat="1" x14ac:dyDescent="0.2">
      <c r="A305" s="54"/>
      <c r="B305" s="44" t="s">
        <v>484</v>
      </c>
      <c r="C305" s="42" t="s">
        <v>55</v>
      </c>
      <c r="D305" s="46">
        <f>1</f>
        <v>1</v>
      </c>
      <c r="E305" s="45">
        <f>0.163</f>
        <v>0.16300000000000001</v>
      </c>
      <c r="F305" s="55">
        <f t="shared" si="71"/>
        <v>0.16300000000000001</v>
      </c>
      <c r="G305" s="42" t="s">
        <v>55</v>
      </c>
      <c r="H305" s="41"/>
      <c r="I305" s="41"/>
      <c r="J305" s="41">
        <f t="shared" si="72"/>
        <v>0</v>
      </c>
      <c r="K305" s="41">
        <f t="shared" si="72"/>
        <v>0</v>
      </c>
      <c r="L305" s="41">
        <f t="shared" si="73"/>
        <v>0</v>
      </c>
    </row>
    <row r="306" spans="1:244" s="81" customFormat="1" x14ac:dyDescent="0.2">
      <c r="A306" s="84"/>
      <c r="B306" s="85"/>
      <c r="C306" s="41"/>
      <c r="D306" s="41"/>
      <c r="E306" s="45"/>
      <c r="F306" s="41"/>
      <c r="G306" s="41"/>
      <c r="H306" s="75"/>
      <c r="I306" s="75"/>
      <c r="J306" s="41"/>
      <c r="K306" s="41"/>
      <c r="L306" s="41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  <c r="DR306" s="84"/>
      <c r="DS306" s="84"/>
      <c r="DT306" s="84"/>
      <c r="DU306" s="84"/>
      <c r="DV306" s="84"/>
      <c r="DW306" s="84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4"/>
      <c r="EK306" s="84"/>
      <c r="EL306" s="84"/>
      <c r="EM306" s="84"/>
      <c r="EN306" s="84"/>
      <c r="EO306" s="84"/>
      <c r="EP306" s="84"/>
      <c r="EQ306" s="84"/>
      <c r="ER306" s="84"/>
      <c r="ES306" s="84"/>
      <c r="ET306" s="84"/>
      <c r="EU306" s="84"/>
      <c r="EV306" s="84"/>
      <c r="EW306" s="84"/>
      <c r="EX306" s="84"/>
      <c r="EY306" s="84"/>
      <c r="EZ306" s="84"/>
      <c r="FA306" s="84"/>
      <c r="FB306" s="84"/>
      <c r="FC306" s="84"/>
      <c r="FD306" s="84"/>
      <c r="FE306" s="84"/>
      <c r="FF306" s="84"/>
      <c r="FG306" s="84"/>
      <c r="FH306" s="84"/>
      <c r="FI306" s="84"/>
      <c r="FJ306" s="84"/>
      <c r="FK306" s="84"/>
      <c r="FL306" s="84"/>
      <c r="FM306" s="84"/>
      <c r="FN306" s="84"/>
      <c r="FO306" s="84"/>
      <c r="FP306" s="84"/>
      <c r="FQ306" s="84"/>
      <c r="FR306" s="84"/>
      <c r="FS306" s="84"/>
      <c r="FT306" s="84"/>
      <c r="FU306" s="84"/>
      <c r="FV306" s="84"/>
      <c r="FW306" s="84"/>
      <c r="FX306" s="84"/>
      <c r="FY306" s="84"/>
      <c r="FZ306" s="84"/>
      <c r="GA306" s="84"/>
      <c r="GB306" s="84"/>
      <c r="GC306" s="84"/>
      <c r="GD306" s="84"/>
      <c r="GE306" s="84"/>
      <c r="GF306" s="84"/>
      <c r="GG306" s="84"/>
      <c r="GH306" s="84"/>
      <c r="GI306" s="84"/>
      <c r="GJ306" s="84"/>
      <c r="GK306" s="84"/>
      <c r="GL306" s="84"/>
      <c r="GM306" s="84"/>
      <c r="GN306" s="84"/>
      <c r="GO306" s="84"/>
      <c r="GP306" s="84"/>
      <c r="GQ306" s="84"/>
      <c r="GR306" s="84"/>
      <c r="GS306" s="84"/>
      <c r="GT306" s="84"/>
      <c r="GU306" s="84"/>
      <c r="GV306" s="84"/>
      <c r="GW306" s="84"/>
      <c r="GX306" s="84"/>
      <c r="GY306" s="84"/>
      <c r="GZ306" s="84"/>
      <c r="HA306" s="84"/>
      <c r="HB306" s="84"/>
      <c r="HC306" s="84"/>
      <c r="HD306" s="84"/>
      <c r="HE306" s="84"/>
      <c r="HF306" s="84"/>
      <c r="HG306" s="84"/>
      <c r="HH306" s="84"/>
      <c r="HI306" s="84"/>
      <c r="HJ306" s="84"/>
      <c r="HK306" s="84"/>
      <c r="HL306" s="84"/>
      <c r="HM306" s="84"/>
      <c r="HN306" s="84"/>
      <c r="HO306" s="84"/>
      <c r="HP306" s="84"/>
      <c r="HQ306" s="84"/>
      <c r="HR306" s="84"/>
      <c r="HS306" s="84"/>
      <c r="HT306" s="84"/>
      <c r="HU306" s="84"/>
      <c r="HV306" s="84"/>
      <c r="HW306" s="84"/>
      <c r="HX306" s="84"/>
      <c r="HY306" s="84"/>
      <c r="HZ306" s="84"/>
      <c r="IA306" s="84"/>
      <c r="IB306" s="84"/>
      <c r="IC306" s="84"/>
      <c r="ID306" s="84"/>
      <c r="IE306" s="84"/>
      <c r="IF306" s="84"/>
      <c r="IG306" s="84"/>
      <c r="IH306" s="84"/>
      <c r="II306" s="84"/>
      <c r="IJ306" s="84"/>
    </row>
    <row r="307" spans="1:244" s="81" customFormat="1" x14ac:dyDescent="0.2">
      <c r="A307" s="54"/>
      <c r="B307" s="94" t="s">
        <v>284</v>
      </c>
      <c r="C307" s="41"/>
      <c r="D307" s="41"/>
      <c r="E307" s="45"/>
      <c r="F307" s="55"/>
      <c r="G307" s="41"/>
      <c r="H307" s="41"/>
      <c r="I307" s="41"/>
      <c r="J307" s="41"/>
      <c r="K307" s="41"/>
      <c r="L307" s="41"/>
    </row>
    <row r="308" spans="1:244" s="81" customFormat="1" ht="28.5" x14ac:dyDescent="0.2">
      <c r="A308" s="54"/>
      <c r="B308" s="44" t="s">
        <v>471</v>
      </c>
      <c r="C308" s="41" t="s">
        <v>70</v>
      </c>
      <c r="D308" s="46">
        <f>CEILING(1.01*(0.5),1)</f>
        <v>1</v>
      </c>
      <c r="E308" s="45">
        <f>0.107</f>
        <v>0.107</v>
      </c>
      <c r="F308" s="55">
        <f t="shared" ref="F308:F321" si="77">D308*E308</f>
        <v>0.107</v>
      </c>
      <c r="G308" s="41" t="s">
        <v>164</v>
      </c>
      <c r="H308" s="41"/>
      <c r="I308" s="41"/>
      <c r="J308" s="41">
        <f t="shared" ref="J308:K321" si="78">$D308*H308</f>
        <v>0</v>
      </c>
      <c r="K308" s="41">
        <f t="shared" si="78"/>
        <v>0</v>
      </c>
      <c r="L308" s="41">
        <f t="shared" ref="L308:L321" si="79">J308+K308</f>
        <v>0</v>
      </c>
    </row>
    <row r="309" spans="1:244" s="81" customFormat="1" ht="25.5" x14ac:dyDescent="0.2">
      <c r="A309" s="54"/>
      <c r="B309" s="44" t="s">
        <v>468</v>
      </c>
      <c r="C309" s="41" t="s">
        <v>70</v>
      </c>
      <c r="D309" s="46">
        <f>CEILING(1.01*(2),1)</f>
        <v>3</v>
      </c>
      <c r="E309" s="45">
        <f>0.261</f>
        <v>0.26100000000000001</v>
      </c>
      <c r="F309" s="55">
        <f t="shared" si="77"/>
        <v>0.78300000000000003</v>
      </c>
      <c r="G309" s="41" t="s">
        <v>164</v>
      </c>
      <c r="H309" s="41"/>
      <c r="I309" s="41"/>
      <c r="J309" s="41">
        <f t="shared" si="78"/>
        <v>0</v>
      </c>
      <c r="K309" s="41">
        <f t="shared" si="78"/>
        <v>0</v>
      </c>
      <c r="L309" s="41">
        <f t="shared" si="79"/>
        <v>0</v>
      </c>
    </row>
    <row r="310" spans="1:244" ht="28.5" x14ac:dyDescent="0.2">
      <c r="A310" s="54"/>
      <c r="B310" s="44" t="s">
        <v>469</v>
      </c>
      <c r="C310" s="41" t="s">
        <v>70</v>
      </c>
      <c r="D310" s="46">
        <f>CEILING(1.01*(2+4+5+2),1)</f>
        <v>14</v>
      </c>
      <c r="E310" s="45">
        <f>0.412</f>
        <v>0.41199999999999998</v>
      </c>
      <c r="F310" s="55">
        <f t="shared" si="77"/>
        <v>5.7679999999999998</v>
      </c>
      <c r="G310" s="41" t="s">
        <v>164</v>
      </c>
      <c r="H310" s="41"/>
      <c r="I310" s="41"/>
      <c r="J310" s="41">
        <f t="shared" si="78"/>
        <v>0</v>
      </c>
      <c r="K310" s="41">
        <f t="shared" si="78"/>
        <v>0</v>
      </c>
      <c r="L310" s="41">
        <f t="shared" si="79"/>
        <v>0</v>
      </c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  <c r="DK310" s="81"/>
      <c r="DL310" s="81"/>
      <c r="DM310" s="81"/>
      <c r="DN310" s="81"/>
      <c r="DO310" s="81"/>
      <c r="DP310" s="81"/>
      <c r="DQ310" s="81"/>
      <c r="DR310" s="81"/>
      <c r="DS310" s="81"/>
      <c r="DT310" s="81"/>
      <c r="DU310" s="81"/>
      <c r="DV310" s="81"/>
      <c r="DW310" s="81"/>
      <c r="DX310" s="81"/>
      <c r="DY310" s="81"/>
      <c r="DZ310" s="81"/>
      <c r="EA310" s="81"/>
      <c r="EB310" s="81"/>
      <c r="EC310" s="81"/>
      <c r="ED310" s="81"/>
      <c r="EE310" s="81"/>
      <c r="EF310" s="81"/>
      <c r="EG310" s="81"/>
      <c r="EH310" s="81"/>
      <c r="EI310" s="81"/>
      <c r="EJ310" s="81"/>
      <c r="EK310" s="81"/>
      <c r="EL310" s="81"/>
      <c r="EM310" s="81"/>
      <c r="EN310" s="81"/>
      <c r="EO310" s="81"/>
      <c r="EP310" s="81"/>
      <c r="EQ310" s="81"/>
      <c r="ER310" s="81"/>
      <c r="ES310" s="81"/>
      <c r="ET310" s="81"/>
      <c r="EU310" s="81"/>
      <c r="EV310" s="81"/>
      <c r="EW310" s="81"/>
      <c r="EX310" s="81"/>
      <c r="EY310" s="81"/>
      <c r="EZ310" s="81"/>
      <c r="FA310" s="81"/>
      <c r="FB310" s="81"/>
      <c r="FC310" s="81"/>
      <c r="FD310" s="81"/>
      <c r="FE310" s="81"/>
      <c r="FF310" s="81"/>
      <c r="FG310" s="81"/>
      <c r="FH310" s="81"/>
      <c r="FI310" s="81"/>
      <c r="FJ310" s="81"/>
      <c r="FK310" s="81"/>
      <c r="FL310" s="81"/>
      <c r="FM310" s="81"/>
      <c r="FN310" s="81"/>
      <c r="FO310" s="81"/>
      <c r="FP310" s="81"/>
      <c r="FQ310" s="81"/>
      <c r="FR310" s="81"/>
      <c r="FS310" s="81"/>
      <c r="FT310" s="81"/>
      <c r="FU310" s="81"/>
      <c r="FV310" s="81"/>
      <c r="FW310" s="81"/>
      <c r="FX310" s="81"/>
      <c r="FY310" s="81"/>
      <c r="FZ310" s="81"/>
      <c r="GA310" s="81"/>
      <c r="GB310" s="81"/>
      <c r="GC310" s="81"/>
      <c r="GD310" s="81"/>
      <c r="GE310" s="81"/>
      <c r="GF310" s="81"/>
      <c r="GG310" s="81"/>
      <c r="GH310" s="81"/>
      <c r="GI310" s="81"/>
      <c r="GJ310" s="81"/>
      <c r="GK310" s="81"/>
      <c r="GL310" s="81"/>
      <c r="GM310" s="81"/>
      <c r="GN310" s="81"/>
      <c r="GO310" s="81"/>
      <c r="GP310" s="81"/>
      <c r="GQ310" s="81"/>
      <c r="GR310" s="81"/>
      <c r="GS310" s="81"/>
      <c r="GT310" s="81"/>
      <c r="GU310" s="81"/>
      <c r="GV310" s="81"/>
      <c r="GW310" s="81"/>
      <c r="GX310" s="81"/>
      <c r="GY310" s="81"/>
      <c r="GZ310" s="81"/>
      <c r="HA310" s="81"/>
      <c r="HB310" s="81"/>
      <c r="HC310" s="81"/>
      <c r="HD310" s="81"/>
      <c r="HE310" s="81"/>
      <c r="HF310" s="81"/>
      <c r="HG310" s="81"/>
      <c r="HH310" s="81"/>
      <c r="HI310" s="81"/>
      <c r="HJ310" s="81"/>
      <c r="HK310" s="81"/>
      <c r="HL310" s="81"/>
      <c r="HM310" s="81"/>
      <c r="HN310" s="81"/>
      <c r="HO310" s="81"/>
      <c r="HP310" s="81"/>
      <c r="HQ310" s="81"/>
      <c r="HR310" s="81"/>
      <c r="HS310" s="81"/>
      <c r="HT310" s="81"/>
      <c r="HU310" s="81"/>
      <c r="HV310" s="81"/>
      <c r="HW310" s="81"/>
      <c r="HX310" s="81"/>
      <c r="HY310" s="81"/>
      <c r="HZ310" s="81"/>
      <c r="IA310" s="81"/>
      <c r="IB310" s="81"/>
      <c r="IC310" s="81"/>
      <c r="ID310" s="81"/>
      <c r="IE310" s="81"/>
      <c r="IF310" s="81"/>
      <c r="IG310" s="81"/>
      <c r="IH310" s="81"/>
      <c r="II310" s="81"/>
      <c r="IJ310" s="81"/>
    </row>
    <row r="311" spans="1:244" s="81" customFormat="1" x14ac:dyDescent="0.2">
      <c r="A311" s="54"/>
      <c r="B311" s="44" t="s">
        <v>285</v>
      </c>
      <c r="C311" s="42" t="s">
        <v>55</v>
      </c>
      <c r="D311" s="46">
        <f>2</f>
        <v>2</v>
      </c>
      <c r="E311" s="45">
        <v>4.3999999999999997E-2</v>
      </c>
      <c r="F311" s="55">
        <f t="shared" si="77"/>
        <v>8.7999999999999995E-2</v>
      </c>
      <c r="G311" s="42" t="s">
        <v>55</v>
      </c>
      <c r="H311" s="41"/>
      <c r="I311" s="41"/>
      <c r="J311" s="41">
        <f t="shared" ref="J311:J321" si="80">$D311*H311</f>
        <v>0</v>
      </c>
      <c r="K311" s="41">
        <f t="shared" si="78"/>
        <v>0</v>
      </c>
      <c r="L311" s="41">
        <f t="shared" si="79"/>
        <v>0</v>
      </c>
    </row>
    <row r="312" spans="1:244" s="81" customFormat="1" x14ac:dyDescent="0.2">
      <c r="A312" s="54"/>
      <c r="B312" s="44" t="s">
        <v>278</v>
      </c>
      <c r="C312" s="42" t="s">
        <v>55</v>
      </c>
      <c r="D312" s="46">
        <f>2+5</f>
        <v>7</v>
      </c>
      <c r="E312" s="45">
        <v>7.3999999999999996E-2</v>
      </c>
      <c r="F312" s="55">
        <f t="shared" si="77"/>
        <v>0.51800000000000002</v>
      </c>
      <c r="G312" s="42" t="s">
        <v>55</v>
      </c>
      <c r="H312" s="41"/>
      <c r="I312" s="41"/>
      <c r="J312" s="41">
        <f t="shared" si="80"/>
        <v>0</v>
      </c>
      <c r="K312" s="41">
        <f t="shared" si="78"/>
        <v>0</v>
      </c>
      <c r="L312" s="41">
        <f t="shared" si="79"/>
        <v>0</v>
      </c>
    </row>
    <row r="313" spans="1:244" s="81" customFormat="1" x14ac:dyDescent="0.2">
      <c r="A313" s="54"/>
      <c r="B313" s="44" t="s">
        <v>279</v>
      </c>
      <c r="C313" s="42" t="s">
        <v>55</v>
      </c>
      <c r="D313" s="46">
        <f>1</f>
        <v>1</v>
      </c>
      <c r="E313" s="45">
        <v>0.23</v>
      </c>
      <c r="F313" s="55">
        <f t="shared" si="77"/>
        <v>0.23</v>
      </c>
      <c r="G313" s="42" t="s">
        <v>55</v>
      </c>
      <c r="H313" s="41"/>
      <c r="I313" s="41"/>
      <c r="J313" s="41">
        <f t="shared" si="80"/>
        <v>0</v>
      </c>
      <c r="K313" s="41">
        <f t="shared" si="78"/>
        <v>0</v>
      </c>
      <c r="L313" s="41">
        <f t="shared" si="79"/>
        <v>0</v>
      </c>
    </row>
    <row r="314" spans="1:244" s="81" customFormat="1" x14ac:dyDescent="0.2">
      <c r="A314" s="54"/>
      <c r="B314" s="44" t="s">
        <v>286</v>
      </c>
      <c r="C314" s="42" t="s">
        <v>55</v>
      </c>
      <c r="D314" s="46">
        <f>5+2+1</f>
        <v>8</v>
      </c>
      <c r="E314" s="45">
        <v>9.5000000000000001E-2</v>
      </c>
      <c r="F314" s="55">
        <f t="shared" si="77"/>
        <v>0.76</v>
      </c>
      <c r="G314" s="42" t="s">
        <v>55</v>
      </c>
      <c r="H314" s="41"/>
      <c r="I314" s="41"/>
      <c r="J314" s="41">
        <f t="shared" si="80"/>
        <v>0</v>
      </c>
      <c r="K314" s="41">
        <f t="shared" si="78"/>
        <v>0</v>
      </c>
      <c r="L314" s="41">
        <f t="shared" si="79"/>
        <v>0</v>
      </c>
    </row>
    <row r="315" spans="1:244" s="43" customFormat="1" x14ac:dyDescent="0.2">
      <c r="A315" s="54"/>
      <c r="B315" s="44" t="s">
        <v>487</v>
      </c>
      <c r="C315" s="42" t="s">
        <v>55</v>
      </c>
      <c r="D315" s="46">
        <f>3+1+1</f>
        <v>5</v>
      </c>
      <c r="E315" s="45">
        <v>2.1999999999999999E-2</v>
      </c>
      <c r="F315" s="55">
        <f t="shared" si="77"/>
        <v>0.10999999999999999</v>
      </c>
      <c r="G315" s="42" t="s">
        <v>55</v>
      </c>
      <c r="H315" s="41"/>
      <c r="I315" s="41"/>
      <c r="J315" s="41">
        <f t="shared" si="80"/>
        <v>0</v>
      </c>
      <c r="K315" s="41">
        <f t="shared" si="78"/>
        <v>0</v>
      </c>
      <c r="L315" s="41">
        <f t="shared" si="79"/>
        <v>0</v>
      </c>
    </row>
    <row r="316" spans="1:244" s="43" customFormat="1" x14ac:dyDescent="0.2">
      <c r="A316" s="54"/>
      <c r="B316" s="44" t="s">
        <v>465</v>
      </c>
      <c r="C316" s="42" t="s">
        <v>55</v>
      </c>
      <c r="D316" s="46">
        <f>2+1</f>
        <v>3</v>
      </c>
      <c r="E316" s="45">
        <v>0.03</v>
      </c>
      <c r="F316" s="55">
        <f t="shared" si="77"/>
        <v>0.09</v>
      </c>
      <c r="G316" s="42" t="s">
        <v>55</v>
      </c>
      <c r="H316" s="41"/>
      <c r="I316" s="41"/>
      <c r="J316" s="41">
        <f t="shared" si="80"/>
        <v>0</v>
      </c>
      <c r="K316" s="41">
        <f t="shared" si="78"/>
        <v>0</v>
      </c>
      <c r="L316" s="41">
        <f t="shared" si="79"/>
        <v>0</v>
      </c>
    </row>
    <row r="317" spans="1:244" s="43" customFormat="1" x14ac:dyDescent="0.2">
      <c r="A317" s="54"/>
      <c r="B317" s="44" t="s">
        <v>488</v>
      </c>
      <c r="C317" s="42" t="s">
        <v>55</v>
      </c>
      <c r="D317" s="46">
        <f>D315</f>
        <v>5</v>
      </c>
      <c r="E317" s="45">
        <f>0.05</f>
        <v>0.05</v>
      </c>
      <c r="F317" s="55">
        <f t="shared" si="77"/>
        <v>0.25</v>
      </c>
      <c r="G317" s="42" t="s">
        <v>55</v>
      </c>
      <c r="H317" s="41"/>
      <c r="I317" s="41"/>
      <c r="J317" s="41">
        <f t="shared" si="80"/>
        <v>0</v>
      </c>
      <c r="K317" s="41">
        <f t="shared" si="78"/>
        <v>0</v>
      </c>
      <c r="L317" s="41">
        <f t="shared" si="79"/>
        <v>0</v>
      </c>
    </row>
    <row r="318" spans="1:244" s="43" customFormat="1" x14ac:dyDescent="0.2">
      <c r="A318" s="54"/>
      <c r="B318" s="44" t="s">
        <v>474</v>
      </c>
      <c r="C318" s="42" t="s">
        <v>55</v>
      </c>
      <c r="D318" s="46">
        <f>D316</f>
        <v>3</v>
      </c>
      <c r="E318" s="45">
        <v>0.01</v>
      </c>
      <c r="F318" s="55">
        <f t="shared" si="77"/>
        <v>0.03</v>
      </c>
      <c r="G318" s="42" t="s">
        <v>55</v>
      </c>
      <c r="H318" s="41"/>
      <c r="I318" s="41"/>
      <c r="J318" s="41">
        <f t="shared" si="80"/>
        <v>0</v>
      </c>
      <c r="K318" s="41">
        <f t="shared" si="78"/>
        <v>0</v>
      </c>
      <c r="L318" s="41">
        <f t="shared" si="79"/>
        <v>0</v>
      </c>
    </row>
    <row r="319" spans="1:244" s="81" customFormat="1" x14ac:dyDescent="0.2">
      <c r="A319" s="54"/>
      <c r="B319" s="44" t="s">
        <v>288</v>
      </c>
      <c r="C319" s="42" t="s">
        <v>55</v>
      </c>
      <c r="D319" s="46">
        <f>CEILING(D308/2,1)</f>
        <v>1</v>
      </c>
      <c r="E319" s="45">
        <v>1.2999999999999999E-2</v>
      </c>
      <c r="F319" s="55">
        <f t="shared" si="77"/>
        <v>1.2999999999999999E-2</v>
      </c>
      <c r="G319" s="42" t="s">
        <v>55</v>
      </c>
      <c r="H319" s="41"/>
      <c r="I319" s="41"/>
      <c r="J319" s="41">
        <f t="shared" si="80"/>
        <v>0</v>
      </c>
      <c r="K319" s="41">
        <f t="shared" si="78"/>
        <v>0</v>
      </c>
      <c r="L319" s="41">
        <f t="shared" si="79"/>
        <v>0</v>
      </c>
    </row>
    <row r="320" spans="1:244" s="81" customFormat="1" x14ac:dyDescent="0.2">
      <c r="A320" s="54"/>
      <c r="B320" s="44" t="s">
        <v>283</v>
      </c>
      <c r="C320" s="42" t="s">
        <v>55</v>
      </c>
      <c r="D320" s="46">
        <f>CEILING(D309/2,1)</f>
        <v>2</v>
      </c>
      <c r="E320" s="45">
        <v>2.5999999999999999E-2</v>
      </c>
      <c r="F320" s="55">
        <f t="shared" si="77"/>
        <v>5.1999999999999998E-2</v>
      </c>
      <c r="G320" s="42" t="s">
        <v>55</v>
      </c>
      <c r="H320" s="41"/>
      <c r="I320" s="41"/>
      <c r="J320" s="41">
        <f t="shared" si="80"/>
        <v>0</v>
      </c>
      <c r="K320" s="41">
        <f t="shared" si="78"/>
        <v>0</v>
      </c>
      <c r="L320" s="41">
        <f t="shared" si="79"/>
        <v>0</v>
      </c>
    </row>
    <row r="321" spans="1:244" s="81" customFormat="1" x14ac:dyDescent="0.2">
      <c r="A321" s="54"/>
      <c r="B321" s="44" t="s">
        <v>281</v>
      </c>
      <c r="C321" s="42" t="s">
        <v>55</v>
      </c>
      <c r="D321" s="46">
        <f>CEILING(D310/2,1)</f>
        <v>7</v>
      </c>
      <c r="E321" s="45">
        <v>4.1000000000000002E-2</v>
      </c>
      <c r="F321" s="55">
        <f t="shared" si="77"/>
        <v>0.28700000000000003</v>
      </c>
      <c r="G321" s="42" t="s">
        <v>55</v>
      </c>
      <c r="H321" s="41"/>
      <c r="I321" s="41"/>
      <c r="J321" s="41">
        <f t="shared" si="80"/>
        <v>0</v>
      </c>
      <c r="K321" s="41">
        <f t="shared" si="78"/>
        <v>0</v>
      </c>
      <c r="L321" s="41">
        <f t="shared" si="79"/>
        <v>0</v>
      </c>
    </row>
    <row r="322" spans="1:244" s="81" customFormat="1" x14ac:dyDescent="0.2">
      <c r="A322" s="54"/>
      <c r="B322" s="44"/>
      <c r="C322" s="41"/>
      <c r="D322" s="41"/>
      <c r="E322" s="45"/>
      <c r="F322" s="55"/>
      <c r="G322" s="41"/>
      <c r="H322" s="41"/>
      <c r="I322" s="41"/>
      <c r="J322" s="41"/>
      <c r="K322" s="41"/>
      <c r="L322" s="41"/>
    </row>
    <row r="323" spans="1:244" s="81" customFormat="1" x14ac:dyDescent="0.2">
      <c r="A323" s="54"/>
      <c r="B323" s="94" t="s">
        <v>289</v>
      </c>
      <c r="C323" s="41"/>
      <c r="D323" s="41"/>
      <c r="E323" s="45"/>
      <c r="F323" s="55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</row>
    <row r="324" spans="1:244" s="81" customFormat="1" x14ac:dyDescent="0.2">
      <c r="A324" s="18"/>
      <c r="B324" s="101" t="s">
        <v>460</v>
      </c>
      <c r="C324" s="12"/>
      <c r="D324" s="24"/>
      <c r="E324" s="12"/>
      <c r="F324" s="12"/>
      <c r="G324" s="12"/>
      <c r="H324" s="11"/>
      <c r="I324" s="11"/>
      <c r="J324" s="11"/>
      <c r="K324" s="11"/>
      <c r="L324" s="1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</row>
    <row r="325" spans="1:244" s="43" customFormat="1" x14ac:dyDescent="0.2">
      <c r="A325" s="54"/>
      <c r="B325" s="44" t="s">
        <v>461</v>
      </c>
      <c r="C325" s="42" t="s">
        <v>55</v>
      </c>
      <c r="D325" s="46">
        <f>2</f>
        <v>2</v>
      </c>
      <c r="E325" s="45">
        <v>0.94</v>
      </c>
      <c r="F325" s="55">
        <f>D325*E325</f>
        <v>1.88</v>
      </c>
      <c r="G325" s="42" t="s">
        <v>55</v>
      </c>
      <c r="H325" s="41"/>
      <c r="I325" s="41"/>
      <c r="J325" s="41">
        <f t="shared" ref="J325:K340" si="81">$D325*H325</f>
        <v>0</v>
      </c>
      <c r="K325" s="41">
        <f t="shared" si="81"/>
        <v>0</v>
      </c>
      <c r="L325" s="41">
        <f>J325+K325</f>
        <v>0</v>
      </c>
    </row>
    <row r="326" spans="1:244" s="43" customFormat="1" x14ac:dyDescent="0.2">
      <c r="A326" s="54"/>
      <c r="B326" s="44" t="s">
        <v>462</v>
      </c>
      <c r="C326" s="42" t="s">
        <v>55</v>
      </c>
      <c r="D326" s="46">
        <f>D325</f>
        <v>2</v>
      </c>
      <c r="E326" s="45">
        <f>0.09</f>
        <v>0.09</v>
      </c>
      <c r="F326" s="55">
        <f>D326*E326</f>
        <v>0.18</v>
      </c>
      <c r="G326" s="42" t="s">
        <v>55</v>
      </c>
      <c r="H326" s="41"/>
      <c r="I326" s="41"/>
      <c r="J326" s="41">
        <f t="shared" si="81"/>
        <v>0</v>
      </c>
      <c r="K326" s="41">
        <f t="shared" si="81"/>
        <v>0</v>
      </c>
      <c r="L326" s="41">
        <f>J326+K326</f>
        <v>0</v>
      </c>
    </row>
    <row r="327" spans="1:244" customFormat="1" ht="25.5" x14ac:dyDescent="0.2">
      <c r="B327" s="110" t="s">
        <v>464</v>
      </c>
      <c r="C327" s="41" t="s">
        <v>55</v>
      </c>
      <c r="D327" s="41">
        <f>2</f>
        <v>2</v>
      </c>
      <c r="E327" s="45">
        <v>1.35</v>
      </c>
      <c r="F327" s="41">
        <f>D327*E327</f>
        <v>2.7</v>
      </c>
      <c r="G327" s="41" t="s">
        <v>55</v>
      </c>
      <c r="H327" s="75"/>
      <c r="I327" s="75"/>
      <c r="J327" s="41">
        <f t="shared" si="81"/>
        <v>0</v>
      </c>
      <c r="K327" s="41">
        <f t="shared" si="81"/>
        <v>0</v>
      </c>
      <c r="L327" s="41">
        <f>J327+K327</f>
        <v>0</v>
      </c>
    </row>
    <row r="328" spans="1:244" s="43" customFormat="1" ht="38.25" x14ac:dyDescent="0.2">
      <c r="A328" s="54"/>
      <c r="B328" s="44" t="s">
        <v>463</v>
      </c>
      <c r="C328" s="41" t="s">
        <v>55</v>
      </c>
      <c r="D328" s="41">
        <f>2</f>
        <v>2</v>
      </c>
      <c r="E328" s="45">
        <f>ROUND(102/1000*10.9,2)</f>
        <v>1.1100000000000001</v>
      </c>
      <c r="F328" s="55">
        <f>D328*E328</f>
        <v>2.2200000000000002</v>
      </c>
      <c r="G328" s="41" t="s">
        <v>55</v>
      </c>
      <c r="H328" s="41"/>
      <c r="I328" s="41"/>
      <c r="J328" s="41">
        <f t="shared" si="81"/>
        <v>0</v>
      </c>
      <c r="K328" s="41">
        <f t="shared" si="81"/>
        <v>0</v>
      </c>
      <c r="L328" s="41">
        <f>J328+K328</f>
        <v>0</v>
      </c>
    </row>
    <row r="329" spans="1:244" s="81" customFormat="1" x14ac:dyDescent="0.2">
      <c r="A329" s="18"/>
      <c r="B329" s="101" t="s">
        <v>382</v>
      </c>
      <c r="C329" s="12"/>
      <c r="D329" s="24"/>
      <c r="E329" s="12"/>
      <c r="F329" s="12"/>
      <c r="G329" s="12"/>
      <c r="H329" s="11"/>
      <c r="I329" s="11"/>
      <c r="J329" s="11"/>
      <c r="K329" s="11"/>
      <c r="L329" s="1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</row>
    <row r="330" spans="1:244" s="43" customFormat="1" ht="25.5" x14ac:dyDescent="0.2">
      <c r="A330" s="54"/>
      <c r="B330" s="44" t="s">
        <v>489</v>
      </c>
      <c r="C330" s="42" t="s">
        <v>55</v>
      </c>
      <c r="D330" s="46">
        <f>2</f>
        <v>2</v>
      </c>
      <c r="E330" s="45">
        <v>0.14399999999999999</v>
      </c>
      <c r="F330" s="55">
        <f t="shared" ref="F330" si="82">D330*E330</f>
        <v>0.28799999999999998</v>
      </c>
      <c r="G330" s="42" t="s">
        <v>55</v>
      </c>
      <c r="H330" s="41"/>
      <c r="I330" s="41"/>
      <c r="J330" s="41">
        <f t="shared" ref="J330" si="83">$D330*H330</f>
        <v>0</v>
      </c>
      <c r="K330" s="41">
        <f t="shared" si="81"/>
        <v>0</v>
      </c>
      <c r="L330" s="41">
        <f t="shared" ref="L330" si="84">J330+K330</f>
        <v>0</v>
      </c>
    </row>
    <row r="331" spans="1:244" s="81" customFormat="1" ht="28.5" x14ac:dyDescent="0.2">
      <c r="A331" s="54"/>
      <c r="B331" s="44" t="s">
        <v>290</v>
      </c>
      <c r="C331" s="42" t="s">
        <v>55</v>
      </c>
      <c r="D331" s="46">
        <f>1</f>
        <v>1</v>
      </c>
      <c r="E331" s="45">
        <v>6.4000000000000001E-2</v>
      </c>
      <c r="F331" s="55">
        <f>D331*E331</f>
        <v>6.4000000000000001E-2</v>
      </c>
      <c r="G331" s="42" t="s">
        <v>55</v>
      </c>
      <c r="H331" s="41"/>
      <c r="I331" s="41"/>
      <c r="J331" s="41">
        <f t="shared" ref="J331:J335" si="85">$D331*H331</f>
        <v>0</v>
      </c>
      <c r="K331" s="41">
        <f t="shared" si="81"/>
        <v>0</v>
      </c>
      <c r="L331" s="41">
        <f>J331+K331</f>
        <v>0</v>
      </c>
    </row>
    <row r="332" spans="1:244" s="43" customFormat="1" x14ac:dyDescent="0.2">
      <c r="A332" s="54"/>
      <c r="B332" s="44" t="s">
        <v>279</v>
      </c>
      <c r="C332" s="42" t="s">
        <v>55</v>
      </c>
      <c r="D332" s="46">
        <f>D330</f>
        <v>2</v>
      </c>
      <c r="E332" s="45">
        <v>0.23</v>
      </c>
      <c r="F332" s="55">
        <f t="shared" ref="F332:F334" si="86">D332*E332</f>
        <v>0.46</v>
      </c>
      <c r="G332" s="42" t="s">
        <v>55</v>
      </c>
      <c r="H332" s="41"/>
      <c r="I332" s="41"/>
      <c r="J332" s="41">
        <f t="shared" si="85"/>
        <v>0</v>
      </c>
      <c r="K332" s="41">
        <f t="shared" si="81"/>
        <v>0</v>
      </c>
      <c r="L332" s="41">
        <f t="shared" ref="L332:L334" si="87">J332+K332</f>
        <v>0</v>
      </c>
    </row>
    <row r="333" spans="1:244" s="43" customFormat="1" x14ac:dyDescent="0.2">
      <c r="A333" s="54"/>
      <c r="B333" s="44" t="s">
        <v>478</v>
      </c>
      <c r="C333" s="42" t="s">
        <v>55</v>
      </c>
      <c r="D333" s="46">
        <f>D330</f>
        <v>2</v>
      </c>
      <c r="E333" s="45">
        <v>6.8000000000000005E-2</v>
      </c>
      <c r="F333" s="55">
        <f t="shared" si="86"/>
        <v>0.13600000000000001</v>
      </c>
      <c r="G333" s="42" t="s">
        <v>55</v>
      </c>
      <c r="H333" s="41"/>
      <c r="I333" s="41"/>
      <c r="J333" s="41">
        <f t="shared" si="85"/>
        <v>0</v>
      </c>
      <c r="K333" s="41">
        <f t="shared" si="81"/>
        <v>0</v>
      </c>
      <c r="L333" s="41">
        <f t="shared" si="87"/>
        <v>0</v>
      </c>
    </row>
    <row r="334" spans="1:244" s="43" customFormat="1" x14ac:dyDescent="0.2">
      <c r="A334" s="54"/>
      <c r="B334" s="44" t="s">
        <v>490</v>
      </c>
      <c r="C334" s="42" t="s">
        <v>55</v>
      </c>
      <c r="D334" s="46">
        <f>D330</f>
        <v>2</v>
      </c>
      <c r="E334" s="45">
        <v>5.8000000000000003E-2</v>
      </c>
      <c r="F334" s="55">
        <f t="shared" si="86"/>
        <v>0.11600000000000001</v>
      </c>
      <c r="G334" s="42" t="s">
        <v>55</v>
      </c>
      <c r="H334" s="41"/>
      <c r="I334" s="41"/>
      <c r="J334" s="41">
        <f t="shared" si="85"/>
        <v>0</v>
      </c>
      <c r="K334" s="41">
        <f t="shared" si="81"/>
        <v>0</v>
      </c>
      <c r="L334" s="41">
        <f t="shared" si="87"/>
        <v>0</v>
      </c>
    </row>
    <row r="335" spans="1:244" s="81" customFormat="1" x14ac:dyDescent="0.2">
      <c r="A335" s="54"/>
      <c r="B335" s="44" t="s">
        <v>383</v>
      </c>
      <c r="C335" s="42" t="s">
        <v>55</v>
      </c>
      <c r="D335" s="46">
        <v>1</v>
      </c>
      <c r="E335" s="45">
        <v>3.5000000000000003E-2</v>
      </c>
      <c r="F335" s="55">
        <f>D335*E335</f>
        <v>3.5000000000000003E-2</v>
      </c>
      <c r="G335" s="42" t="s">
        <v>55</v>
      </c>
      <c r="H335" s="41"/>
      <c r="I335" s="41"/>
      <c r="J335" s="41">
        <f t="shared" si="85"/>
        <v>0</v>
      </c>
      <c r="K335" s="41">
        <f t="shared" si="81"/>
        <v>0</v>
      </c>
      <c r="L335" s="41">
        <f>J335+K335</f>
        <v>0</v>
      </c>
    </row>
    <row r="336" spans="1:244" s="81" customFormat="1" x14ac:dyDescent="0.2">
      <c r="A336" s="18"/>
      <c r="B336" s="101" t="s">
        <v>291</v>
      </c>
      <c r="C336" s="12"/>
      <c r="D336" s="24"/>
      <c r="E336" s="12"/>
      <c r="F336" s="12"/>
      <c r="G336" s="12"/>
      <c r="H336" s="11"/>
      <c r="I336" s="11"/>
      <c r="J336" s="11"/>
      <c r="K336" s="41">
        <f t="shared" si="81"/>
        <v>0</v>
      </c>
      <c r="L336" s="1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</row>
    <row r="337" spans="1:244" s="81" customFormat="1" ht="28.5" x14ac:dyDescent="0.2">
      <c r="A337" s="54"/>
      <c r="B337" s="44" t="s">
        <v>292</v>
      </c>
      <c r="C337" s="42" t="s">
        <v>55</v>
      </c>
      <c r="D337" s="46">
        <f>2</f>
        <v>2</v>
      </c>
      <c r="E337" s="45">
        <v>8.8999999999999996E-2</v>
      </c>
      <c r="F337" s="55">
        <f>D337*E337</f>
        <v>0.17799999999999999</v>
      </c>
      <c r="G337" s="42" t="s">
        <v>55</v>
      </c>
      <c r="H337" s="41"/>
      <c r="I337" s="41"/>
      <c r="J337" s="41">
        <f>$D337*H337</f>
        <v>0</v>
      </c>
      <c r="K337" s="41">
        <f t="shared" si="81"/>
        <v>0</v>
      </c>
      <c r="L337" s="41">
        <f>J337+K337</f>
        <v>0</v>
      </c>
    </row>
    <row r="338" spans="1:244" s="81" customFormat="1" x14ac:dyDescent="0.2">
      <c r="A338" s="18"/>
      <c r="B338" s="101" t="s">
        <v>498</v>
      </c>
      <c r="C338" s="12"/>
      <c r="D338" s="24"/>
      <c r="E338" s="12"/>
      <c r="F338" s="12"/>
      <c r="G338" s="12"/>
      <c r="H338" s="11"/>
      <c r="I338" s="11"/>
      <c r="J338" s="11"/>
      <c r="K338" s="41">
        <f t="shared" si="81"/>
        <v>0</v>
      </c>
      <c r="L338" s="1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</row>
    <row r="339" spans="1:244" s="43" customFormat="1" x14ac:dyDescent="0.2">
      <c r="A339" s="54"/>
      <c r="B339" s="44" t="s">
        <v>483</v>
      </c>
      <c r="C339" s="42" t="s">
        <v>55</v>
      </c>
      <c r="D339" s="46">
        <f>1</f>
        <v>1</v>
      </c>
      <c r="E339" s="45">
        <v>1.3</v>
      </c>
      <c r="F339" s="55">
        <f t="shared" ref="F339:F342" si="88">D339*E339</f>
        <v>1.3</v>
      </c>
      <c r="G339" s="42" t="s">
        <v>55</v>
      </c>
      <c r="H339" s="41"/>
      <c r="I339" s="41"/>
      <c r="J339" s="41">
        <f t="shared" ref="J339:K344" si="89">$D339*H339</f>
        <v>0</v>
      </c>
      <c r="K339" s="41">
        <f t="shared" si="81"/>
        <v>0</v>
      </c>
      <c r="L339" s="41">
        <f t="shared" ref="L339:L342" si="90">J339+K339</f>
        <v>0</v>
      </c>
    </row>
    <row r="340" spans="1:244" s="43" customFormat="1" x14ac:dyDescent="0.2">
      <c r="A340" s="54"/>
      <c r="B340" s="44" t="s">
        <v>484</v>
      </c>
      <c r="C340" s="42" t="s">
        <v>55</v>
      </c>
      <c r="D340" s="46">
        <f>D339</f>
        <v>1</v>
      </c>
      <c r="E340" s="45">
        <f>0.163</f>
        <v>0.16300000000000001</v>
      </c>
      <c r="F340" s="55">
        <f t="shared" si="88"/>
        <v>0.16300000000000001</v>
      </c>
      <c r="G340" s="42" t="s">
        <v>55</v>
      </c>
      <c r="H340" s="41"/>
      <c r="I340" s="41"/>
      <c r="J340" s="41">
        <f t="shared" si="89"/>
        <v>0</v>
      </c>
      <c r="K340" s="41">
        <f t="shared" si="81"/>
        <v>0</v>
      </c>
      <c r="L340" s="41">
        <f t="shared" si="90"/>
        <v>0</v>
      </c>
    </row>
    <row r="341" spans="1:244" s="43" customFormat="1" x14ac:dyDescent="0.2">
      <c r="A341" s="54"/>
      <c r="B341" s="44" t="s">
        <v>499</v>
      </c>
      <c r="C341" s="42" t="s">
        <v>55</v>
      </c>
      <c r="D341" s="46">
        <f>D339</f>
        <v>1</v>
      </c>
      <c r="E341" s="45">
        <v>0.317</v>
      </c>
      <c r="F341" s="55">
        <f t="shared" si="88"/>
        <v>0.317</v>
      </c>
      <c r="G341" s="42" t="s">
        <v>55</v>
      </c>
      <c r="H341" s="41"/>
      <c r="I341" s="41"/>
      <c r="J341" s="41">
        <f t="shared" si="89"/>
        <v>0</v>
      </c>
      <c r="K341" s="41">
        <f t="shared" si="89"/>
        <v>0</v>
      </c>
      <c r="L341" s="41">
        <f t="shared" si="90"/>
        <v>0</v>
      </c>
    </row>
    <row r="342" spans="1:244" s="43" customFormat="1" x14ac:dyDescent="0.2">
      <c r="A342" s="54"/>
      <c r="B342" s="44" t="s">
        <v>486</v>
      </c>
      <c r="C342" s="42" t="s">
        <v>55</v>
      </c>
      <c r="D342" s="46">
        <f>D340</f>
        <v>1</v>
      </c>
      <c r="E342" s="45">
        <v>9.6000000000000002E-2</v>
      </c>
      <c r="F342" s="55">
        <f t="shared" si="88"/>
        <v>9.6000000000000002E-2</v>
      </c>
      <c r="G342" s="42" t="s">
        <v>55</v>
      </c>
      <c r="H342" s="41"/>
      <c r="I342" s="41"/>
      <c r="J342" s="41">
        <f t="shared" si="89"/>
        <v>0</v>
      </c>
      <c r="K342" s="41">
        <f t="shared" si="89"/>
        <v>0</v>
      </c>
      <c r="L342" s="41">
        <f t="shared" si="90"/>
        <v>0</v>
      </c>
    </row>
    <row r="343" spans="1:244" s="81" customFormat="1" x14ac:dyDescent="0.2">
      <c r="A343" s="18"/>
      <c r="B343" s="101" t="s">
        <v>457</v>
      </c>
      <c r="C343" s="12"/>
      <c r="D343" s="24"/>
      <c r="E343" s="12"/>
      <c r="F343" s="12"/>
      <c r="G343" s="12"/>
      <c r="H343" s="11"/>
      <c r="I343" s="11"/>
      <c r="J343" s="11"/>
      <c r="K343" s="41">
        <f t="shared" si="89"/>
        <v>0</v>
      </c>
      <c r="L343" s="1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</row>
    <row r="344" spans="1:244" s="43" customFormat="1" ht="25.5" x14ac:dyDescent="0.2">
      <c r="A344" s="54"/>
      <c r="B344" s="44" t="s">
        <v>458</v>
      </c>
      <c r="C344" s="42" t="s">
        <v>55</v>
      </c>
      <c r="D344" s="46">
        <f>3</f>
        <v>3</v>
      </c>
      <c r="E344" s="45">
        <v>2.7E-2</v>
      </c>
      <c r="F344" s="55">
        <f>D344*E344</f>
        <v>8.1000000000000003E-2</v>
      </c>
      <c r="G344" s="42" t="s">
        <v>55</v>
      </c>
      <c r="H344" s="41"/>
      <c r="I344" s="41"/>
      <c r="J344" s="41">
        <f>$D344*H344</f>
        <v>0</v>
      </c>
      <c r="K344" s="41">
        <f t="shared" si="89"/>
        <v>0</v>
      </c>
      <c r="L344" s="41">
        <f>J344+K344</f>
        <v>0</v>
      </c>
    </row>
    <row r="345" spans="1:244" ht="15.75" x14ac:dyDescent="0.2">
      <c r="A345" s="18"/>
      <c r="B345" s="101" t="s">
        <v>293</v>
      </c>
      <c r="C345" s="12"/>
      <c r="D345" s="24">
        <f>2</f>
        <v>2</v>
      </c>
      <c r="E345" s="12"/>
      <c r="F345" s="12"/>
      <c r="G345" s="12"/>
      <c r="H345" s="11"/>
      <c r="I345" s="11"/>
      <c r="J345" s="11"/>
      <c r="K345" s="11"/>
      <c r="L345" s="11"/>
    </row>
    <row r="346" spans="1:244" ht="28.5" x14ac:dyDescent="0.2">
      <c r="A346" s="54"/>
      <c r="B346" s="44" t="s">
        <v>491</v>
      </c>
      <c r="C346" s="42" t="s">
        <v>55</v>
      </c>
      <c r="D346" s="46">
        <f>D345</f>
        <v>2</v>
      </c>
      <c r="E346" s="45">
        <v>8.0000000000000002E-3</v>
      </c>
      <c r="F346" s="55">
        <f>D346*E346</f>
        <v>1.6E-2</v>
      </c>
      <c r="G346" s="42" t="s">
        <v>55</v>
      </c>
      <c r="H346" s="41"/>
      <c r="I346" s="41"/>
      <c r="J346" s="41">
        <f>$D346*H346</f>
        <v>0</v>
      </c>
      <c r="K346" s="41">
        <f t="shared" ref="K346" si="91">$D346*I346</f>
        <v>0</v>
      </c>
      <c r="L346" s="41">
        <f>J346+K346</f>
        <v>0</v>
      </c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  <c r="DK346" s="81"/>
      <c r="DL346" s="81"/>
      <c r="DM346" s="81"/>
      <c r="DN346" s="81"/>
      <c r="DO346" s="81"/>
      <c r="DP346" s="81"/>
      <c r="DQ346" s="81"/>
      <c r="DR346" s="81"/>
      <c r="DS346" s="81"/>
      <c r="DT346" s="81"/>
      <c r="DU346" s="81"/>
      <c r="DV346" s="81"/>
      <c r="DW346" s="81"/>
      <c r="DX346" s="81"/>
      <c r="DY346" s="81"/>
      <c r="DZ346" s="81"/>
      <c r="EA346" s="81"/>
      <c r="EB346" s="81"/>
      <c r="EC346" s="81"/>
      <c r="ED346" s="81"/>
      <c r="EE346" s="81"/>
      <c r="EF346" s="81"/>
      <c r="EG346" s="81"/>
      <c r="EH346" s="81"/>
      <c r="EI346" s="81"/>
      <c r="EJ346" s="81"/>
      <c r="EK346" s="81"/>
      <c r="EL346" s="81"/>
      <c r="EM346" s="81"/>
      <c r="EN346" s="81"/>
      <c r="EO346" s="81"/>
      <c r="EP346" s="81"/>
      <c r="EQ346" s="81"/>
      <c r="ER346" s="81"/>
      <c r="ES346" s="81"/>
      <c r="ET346" s="81"/>
      <c r="EU346" s="81"/>
      <c r="EV346" s="81"/>
      <c r="EW346" s="81"/>
      <c r="EX346" s="81"/>
      <c r="EY346" s="81"/>
      <c r="EZ346" s="81"/>
      <c r="FA346" s="81"/>
      <c r="FB346" s="81"/>
      <c r="FC346" s="81"/>
      <c r="FD346" s="81"/>
      <c r="FE346" s="81"/>
      <c r="FF346" s="81"/>
      <c r="FG346" s="81"/>
      <c r="FH346" s="81"/>
      <c r="FI346" s="81"/>
      <c r="FJ346" s="81"/>
      <c r="FK346" s="81"/>
      <c r="FL346" s="81"/>
      <c r="FM346" s="81"/>
      <c r="FN346" s="81"/>
      <c r="FO346" s="81"/>
      <c r="FP346" s="81"/>
      <c r="FQ346" s="81"/>
      <c r="FR346" s="81"/>
      <c r="FS346" s="81"/>
      <c r="FT346" s="81"/>
      <c r="FU346" s="81"/>
      <c r="FV346" s="81"/>
      <c r="FW346" s="81"/>
      <c r="FX346" s="81"/>
      <c r="FY346" s="81"/>
      <c r="FZ346" s="81"/>
      <c r="GA346" s="81"/>
      <c r="GB346" s="81"/>
      <c r="GC346" s="81"/>
      <c r="GD346" s="81"/>
      <c r="GE346" s="81"/>
      <c r="GF346" s="81"/>
      <c r="GG346" s="81"/>
      <c r="GH346" s="81"/>
      <c r="GI346" s="81"/>
      <c r="GJ346" s="81"/>
      <c r="GK346" s="81"/>
      <c r="GL346" s="81"/>
      <c r="GM346" s="81"/>
      <c r="GN346" s="81"/>
      <c r="GO346" s="81"/>
      <c r="GP346" s="81"/>
      <c r="GQ346" s="81"/>
      <c r="GR346" s="81"/>
      <c r="GS346" s="81"/>
      <c r="GT346" s="81"/>
      <c r="GU346" s="81"/>
      <c r="GV346" s="81"/>
      <c r="GW346" s="81"/>
      <c r="GX346" s="81"/>
      <c r="GY346" s="81"/>
      <c r="GZ346" s="81"/>
      <c r="HA346" s="81"/>
      <c r="HB346" s="81"/>
      <c r="HC346" s="81"/>
      <c r="HD346" s="81"/>
      <c r="HE346" s="81"/>
      <c r="HF346" s="81"/>
      <c r="HG346" s="81"/>
      <c r="HH346" s="81"/>
      <c r="HI346" s="81"/>
      <c r="HJ346" s="81"/>
      <c r="HK346" s="81"/>
      <c r="HL346" s="81"/>
      <c r="HM346" s="81"/>
      <c r="HN346" s="81"/>
      <c r="HO346" s="81"/>
      <c r="HP346" s="81"/>
      <c r="HQ346" s="81"/>
      <c r="HR346" s="81"/>
      <c r="HS346" s="81"/>
      <c r="HT346" s="81"/>
      <c r="HU346" s="81"/>
      <c r="HV346" s="81"/>
      <c r="HW346" s="81"/>
      <c r="HX346" s="81"/>
      <c r="HY346" s="81"/>
      <c r="HZ346" s="81"/>
      <c r="IA346" s="81"/>
      <c r="IB346" s="81"/>
      <c r="IC346" s="81"/>
      <c r="ID346" s="81"/>
      <c r="IE346" s="81"/>
      <c r="IF346" s="81"/>
      <c r="IG346" s="81"/>
      <c r="IH346" s="81"/>
      <c r="II346" s="81"/>
      <c r="IJ346" s="81"/>
    </row>
    <row r="347" spans="1:244" s="81" customFormat="1" ht="15.75" x14ac:dyDescent="0.2">
      <c r="A347" s="18"/>
      <c r="B347" s="101" t="s">
        <v>294</v>
      </c>
      <c r="C347" s="12"/>
      <c r="D347" s="24">
        <f>4</f>
        <v>4</v>
      </c>
      <c r="E347" s="12"/>
      <c r="F347" s="12"/>
      <c r="G347" s="12"/>
      <c r="H347" s="11"/>
      <c r="I347" s="11"/>
      <c r="J347" s="11"/>
      <c r="K347" s="11"/>
      <c r="L347" s="1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</row>
    <row r="348" spans="1:244" s="81" customFormat="1" ht="28.5" x14ac:dyDescent="0.2">
      <c r="A348" s="54"/>
      <c r="B348" s="44" t="s">
        <v>492</v>
      </c>
      <c r="C348" s="42" t="s">
        <v>55</v>
      </c>
      <c r="D348" s="46">
        <f>D347</f>
        <v>4</v>
      </c>
      <c r="E348" s="45">
        <v>1.0999999999999999E-2</v>
      </c>
      <c r="F348" s="55">
        <f>D348*E348</f>
        <v>4.3999999999999997E-2</v>
      </c>
      <c r="G348" s="42" t="s">
        <v>55</v>
      </c>
      <c r="H348" s="41"/>
      <c r="I348" s="41"/>
      <c r="J348" s="41">
        <f>$D348*H348</f>
        <v>0</v>
      </c>
      <c r="K348" s="41">
        <f t="shared" ref="K348" si="92">$D348*I348</f>
        <v>0</v>
      </c>
      <c r="L348" s="41">
        <f>J348+K348</f>
        <v>0</v>
      </c>
    </row>
    <row r="349" spans="1:244" ht="15.75" x14ac:dyDescent="0.2">
      <c r="A349" s="18"/>
      <c r="B349" s="101" t="s">
        <v>459</v>
      </c>
      <c r="C349" s="12"/>
      <c r="D349" s="24">
        <f>1</f>
        <v>1</v>
      </c>
      <c r="E349" s="12"/>
      <c r="F349" s="12"/>
      <c r="G349" s="12"/>
      <c r="H349" s="11"/>
      <c r="I349" s="11"/>
      <c r="J349" s="11"/>
      <c r="K349" s="11"/>
      <c r="L349" s="11"/>
    </row>
    <row r="350" spans="1:244" s="43" customFormat="1" ht="28.5" x14ac:dyDescent="0.2">
      <c r="A350" s="54"/>
      <c r="B350" s="44" t="s">
        <v>493</v>
      </c>
      <c r="C350" s="42" t="s">
        <v>55</v>
      </c>
      <c r="D350" s="46">
        <f>D349*2</f>
        <v>2</v>
      </c>
      <c r="E350" s="45">
        <v>1.4999999999999999E-2</v>
      </c>
      <c r="F350" s="55">
        <f>D350*E350</f>
        <v>0.03</v>
      </c>
      <c r="G350" s="42" t="s">
        <v>55</v>
      </c>
      <c r="H350" s="41"/>
      <c r="I350" s="41"/>
      <c r="J350" s="41">
        <f>$D350*H350</f>
        <v>0</v>
      </c>
      <c r="K350" s="41">
        <f t="shared" ref="K350" si="93">$D350*I350</f>
        <v>0</v>
      </c>
      <c r="L350" s="41">
        <f>J350+K350</f>
        <v>0</v>
      </c>
    </row>
    <row r="351" spans="1:244" s="81" customFormat="1" x14ac:dyDescent="0.2">
      <c r="A351" s="18"/>
      <c r="B351" s="101" t="s">
        <v>295</v>
      </c>
      <c r="C351" s="12"/>
      <c r="D351" s="24">
        <f>8</f>
        <v>8</v>
      </c>
      <c r="E351" s="12"/>
      <c r="F351" s="12"/>
      <c r="G351" s="12"/>
      <c r="H351" s="11"/>
      <c r="I351" s="11"/>
      <c r="J351" s="11"/>
      <c r="K351" s="11"/>
      <c r="L351" s="1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</row>
    <row r="352" spans="1:244" s="43" customFormat="1" ht="25.5" x14ac:dyDescent="0.2">
      <c r="A352" s="54"/>
      <c r="B352" s="44" t="s">
        <v>494</v>
      </c>
      <c r="C352" s="42" t="s">
        <v>55</v>
      </c>
      <c r="D352" s="46">
        <f>D351*2</f>
        <v>16</v>
      </c>
      <c r="E352" s="45">
        <v>2.7E-2</v>
      </c>
      <c r="F352" s="55">
        <f t="shared" ref="F352" si="94">D352*E352</f>
        <v>0.432</v>
      </c>
      <c r="G352" s="42" t="s">
        <v>55</v>
      </c>
      <c r="H352" s="41"/>
      <c r="I352" s="41"/>
      <c r="J352" s="41">
        <f t="shared" ref="J352:K352" si="95">$D352*H352</f>
        <v>0</v>
      </c>
      <c r="K352" s="41">
        <f t="shared" si="95"/>
        <v>0</v>
      </c>
      <c r="L352" s="41">
        <f t="shared" ref="L352" si="96">J352+K352</f>
        <v>0</v>
      </c>
    </row>
    <row r="353" spans="1:244" ht="15.75" x14ac:dyDescent="0.2">
      <c r="A353" s="18"/>
      <c r="B353" s="101" t="s">
        <v>296</v>
      </c>
      <c r="C353" s="12"/>
      <c r="D353" s="24">
        <f>9</f>
        <v>9</v>
      </c>
      <c r="E353" s="12"/>
      <c r="F353" s="12"/>
      <c r="G353" s="12"/>
      <c r="H353" s="11"/>
      <c r="I353" s="11"/>
      <c r="J353" s="11"/>
      <c r="K353" s="11"/>
      <c r="L353" s="11"/>
    </row>
    <row r="354" spans="1:244" s="43" customFormat="1" ht="28.5" x14ac:dyDescent="0.2">
      <c r="A354" s="54"/>
      <c r="B354" s="44" t="s">
        <v>495</v>
      </c>
      <c r="C354" s="42" t="s">
        <v>55</v>
      </c>
      <c r="D354" s="46">
        <f>D353*2</f>
        <v>18</v>
      </c>
      <c r="E354" s="45">
        <v>0.04</v>
      </c>
      <c r="F354" s="55">
        <f t="shared" ref="F354" si="97">D354*E354</f>
        <v>0.72</v>
      </c>
      <c r="G354" s="42" t="s">
        <v>55</v>
      </c>
      <c r="H354" s="41"/>
      <c r="I354" s="41"/>
      <c r="J354" s="41">
        <f t="shared" ref="J354:K354" si="98">$D354*H354</f>
        <v>0</v>
      </c>
      <c r="K354" s="41">
        <f t="shared" si="98"/>
        <v>0</v>
      </c>
      <c r="L354" s="41">
        <f t="shared" ref="L354" si="99">J354+K354</f>
        <v>0</v>
      </c>
    </row>
    <row r="355" spans="1:244" s="81" customFormat="1" ht="15.75" x14ac:dyDescent="0.2">
      <c r="A355" s="18"/>
      <c r="B355" s="101" t="s">
        <v>297</v>
      </c>
      <c r="C355" s="12"/>
      <c r="D355" s="24">
        <f>2</f>
        <v>2</v>
      </c>
      <c r="E355" s="12"/>
      <c r="F355" s="12"/>
      <c r="G355" s="12"/>
      <c r="H355" s="11"/>
      <c r="I355" s="11"/>
      <c r="J355" s="11"/>
      <c r="K355" s="11"/>
      <c r="L355" s="1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</row>
    <row r="356" spans="1:244" s="43" customFormat="1" ht="28.5" x14ac:dyDescent="0.2">
      <c r="A356" s="54"/>
      <c r="B356" s="44" t="s">
        <v>496</v>
      </c>
      <c r="C356" s="42" t="s">
        <v>55</v>
      </c>
      <c r="D356" s="46">
        <f>D355*2</f>
        <v>4</v>
      </c>
      <c r="E356" s="45">
        <v>6.0999999999999999E-2</v>
      </c>
      <c r="F356" s="55">
        <f t="shared" ref="F356" si="100">D356*E356</f>
        <v>0.24399999999999999</v>
      </c>
      <c r="G356" s="42" t="s">
        <v>55</v>
      </c>
      <c r="H356" s="41"/>
      <c r="I356" s="41"/>
      <c r="J356" s="41">
        <f t="shared" ref="J356:K356" si="101">$D356*H356</f>
        <v>0</v>
      </c>
      <c r="K356" s="41">
        <f t="shared" si="101"/>
        <v>0</v>
      </c>
      <c r="L356" s="41">
        <f t="shared" ref="L356" si="102">J356+K356</f>
        <v>0</v>
      </c>
    </row>
    <row r="357" spans="1:244" s="81" customFormat="1" x14ac:dyDescent="0.2">
      <c r="A357" s="18"/>
      <c r="B357" s="101" t="s">
        <v>381</v>
      </c>
      <c r="C357" s="12"/>
      <c r="D357" s="24">
        <f>2</f>
        <v>2</v>
      </c>
      <c r="E357" s="12"/>
      <c r="F357" s="12"/>
      <c r="G357" s="12"/>
      <c r="H357" s="11"/>
      <c r="I357" s="11"/>
      <c r="J357" s="11"/>
      <c r="K357" s="11"/>
      <c r="L357" s="1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</row>
    <row r="358" spans="1:244" s="43" customFormat="1" ht="25.5" x14ac:dyDescent="0.2">
      <c r="A358" s="54"/>
      <c r="B358" s="44" t="s">
        <v>497</v>
      </c>
      <c r="C358" s="42" t="s">
        <v>55</v>
      </c>
      <c r="D358" s="46">
        <f>D357*2</f>
        <v>4</v>
      </c>
      <c r="E358" s="45">
        <f>0.1</f>
        <v>0.1</v>
      </c>
      <c r="F358" s="55">
        <f t="shared" ref="F358" si="103">D358*E358</f>
        <v>0.4</v>
      </c>
      <c r="G358" s="42" t="s">
        <v>55</v>
      </c>
      <c r="H358" s="41"/>
      <c r="I358" s="41"/>
      <c r="J358" s="41">
        <f t="shared" ref="J358:K358" si="104">$D358*H358</f>
        <v>0</v>
      </c>
      <c r="K358" s="41">
        <f t="shared" si="104"/>
        <v>0</v>
      </c>
      <c r="L358" s="41">
        <f t="shared" ref="L358" si="105">J358+K358</f>
        <v>0</v>
      </c>
    </row>
    <row r="359" spans="1:244" s="81" customFormat="1" ht="15.75" x14ac:dyDescent="0.2">
      <c r="A359" s="18"/>
      <c r="B359" s="101" t="s">
        <v>472</v>
      </c>
      <c r="C359" s="12"/>
      <c r="D359" s="24">
        <v>1</v>
      </c>
      <c r="E359" s="12"/>
      <c r="F359" s="12"/>
      <c r="G359" s="12"/>
      <c r="H359" s="11"/>
      <c r="I359" s="11"/>
      <c r="J359" s="11"/>
      <c r="K359" s="11"/>
      <c r="L359" s="1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</row>
    <row r="360" spans="1:244" s="81" customFormat="1" ht="28.5" x14ac:dyDescent="0.2">
      <c r="A360" s="54"/>
      <c r="B360" s="44" t="s">
        <v>492</v>
      </c>
      <c r="C360" s="42" t="s">
        <v>55</v>
      </c>
      <c r="D360" s="46">
        <f>D359</f>
        <v>1</v>
      </c>
      <c r="E360" s="45">
        <v>1.0999999999999999E-2</v>
      </c>
      <c r="F360" s="55">
        <f>D360*E360</f>
        <v>1.0999999999999999E-2</v>
      </c>
      <c r="G360" s="42" t="s">
        <v>55</v>
      </c>
      <c r="H360" s="41"/>
      <c r="I360" s="41"/>
      <c r="J360" s="41">
        <f>$D360*H360</f>
        <v>0</v>
      </c>
      <c r="K360" s="41">
        <f t="shared" ref="K360:K361" si="106">$D360*I360</f>
        <v>0</v>
      </c>
      <c r="L360" s="41">
        <f>J360+K360</f>
        <v>0</v>
      </c>
    </row>
    <row r="361" spans="1:244" s="43" customFormat="1" ht="28.5" x14ac:dyDescent="0.2">
      <c r="A361" s="54"/>
      <c r="B361" s="44" t="s">
        <v>493</v>
      </c>
      <c r="C361" s="42" t="s">
        <v>55</v>
      </c>
      <c r="D361" s="46">
        <f>D359</f>
        <v>1</v>
      </c>
      <c r="E361" s="45">
        <v>1.4999999999999999E-2</v>
      </c>
      <c r="F361" s="55">
        <f>D361*E361</f>
        <v>1.4999999999999999E-2</v>
      </c>
      <c r="G361" s="42" t="s">
        <v>55</v>
      </c>
      <c r="H361" s="41"/>
      <c r="I361" s="41"/>
      <c r="J361" s="41">
        <f>$D361*H361</f>
        <v>0</v>
      </c>
      <c r="K361" s="41">
        <f t="shared" si="106"/>
        <v>0</v>
      </c>
      <c r="L361" s="41">
        <f>J361+K361</f>
        <v>0</v>
      </c>
    </row>
    <row r="362" spans="1:244" s="81" customFormat="1" ht="15.75" x14ac:dyDescent="0.2">
      <c r="A362" s="18"/>
      <c r="B362" s="101" t="s">
        <v>473</v>
      </c>
      <c r="C362" s="12"/>
      <c r="D362" s="24">
        <v>1</v>
      </c>
      <c r="E362" s="12"/>
      <c r="F362" s="12"/>
      <c r="G362" s="12"/>
      <c r="H362" s="11"/>
      <c r="I362" s="11"/>
      <c r="J362" s="11"/>
      <c r="K362" s="11"/>
      <c r="L362" s="1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</row>
    <row r="363" spans="1:244" s="43" customFormat="1" ht="28.5" x14ac:dyDescent="0.2">
      <c r="A363" s="54"/>
      <c r="B363" s="44" t="s">
        <v>493</v>
      </c>
      <c r="C363" s="42" t="s">
        <v>55</v>
      </c>
      <c r="D363" s="46">
        <f>D362</f>
        <v>1</v>
      </c>
      <c r="E363" s="45">
        <v>2.7E-2</v>
      </c>
      <c r="F363" s="55">
        <f>D363*E363</f>
        <v>2.7E-2</v>
      </c>
      <c r="G363" s="42" t="s">
        <v>55</v>
      </c>
      <c r="H363" s="41"/>
      <c r="I363" s="41"/>
      <c r="J363" s="41">
        <f>$D363*H363</f>
        <v>0</v>
      </c>
      <c r="K363" s="41">
        <f t="shared" ref="K363:K364" si="107">$D363*I363</f>
        <v>0</v>
      </c>
      <c r="L363" s="41">
        <f>J363+K363</f>
        <v>0</v>
      </c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  <c r="DK363" s="81"/>
      <c r="DL363" s="81"/>
      <c r="DM363" s="81"/>
      <c r="DN363" s="81"/>
      <c r="DO363" s="81"/>
      <c r="DP363" s="81"/>
      <c r="DQ363" s="81"/>
      <c r="DR363" s="81"/>
      <c r="DS363" s="81"/>
      <c r="DT363" s="81"/>
      <c r="DU363" s="81"/>
      <c r="DV363" s="81"/>
      <c r="DW363" s="81"/>
      <c r="DX363" s="81"/>
      <c r="DY363" s="81"/>
      <c r="DZ363" s="81"/>
      <c r="EA363" s="81"/>
      <c r="EB363" s="81"/>
      <c r="EC363" s="81"/>
      <c r="ED363" s="81"/>
      <c r="EE363" s="81"/>
      <c r="EF363" s="81"/>
      <c r="EG363" s="81"/>
      <c r="EH363" s="81"/>
      <c r="EI363" s="81"/>
      <c r="EJ363" s="81"/>
      <c r="EK363" s="81"/>
      <c r="EL363" s="81"/>
      <c r="EM363" s="81"/>
      <c r="EN363" s="81"/>
      <c r="EO363" s="81"/>
      <c r="EP363" s="81"/>
      <c r="EQ363" s="81"/>
      <c r="ER363" s="81"/>
      <c r="ES363" s="81"/>
      <c r="ET363" s="81"/>
      <c r="EU363" s="81"/>
      <c r="EV363" s="81"/>
      <c r="EW363" s="81"/>
      <c r="EX363" s="81"/>
      <c r="EY363" s="81"/>
      <c r="EZ363" s="81"/>
      <c r="FA363" s="81"/>
      <c r="FB363" s="81"/>
      <c r="FC363" s="81"/>
      <c r="FD363" s="81"/>
      <c r="FE363" s="81"/>
      <c r="FF363" s="81"/>
      <c r="FG363" s="81"/>
      <c r="FH363" s="81"/>
      <c r="FI363" s="81"/>
      <c r="FJ363" s="81"/>
      <c r="FK363" s="81"/>
      <c r="FL363" s="81"/>
      <c r="FM363" s="81"/>
      <c r="FN363" s="81"/>
      <c r="FO363" s="81"/>
      <c r="FP363" s="81"/>
      <c r="FQ363" s="81"/>
      <c r="FR363" s="81"/>
      <c r="FS363" s="81"/>
      <c r="FT363" s="81"/>
      <c r="FU363" s="81"/>
      <c r="FV363" s="81"/>
      <c r="FW363" s="81"/>
      <c r="FX363" s="81"/>
      <c r="FY363" s="81"/>
      <c r="FZ363" s="81"/>
      <c r="GA363" s="81"/>
      <c r="GB363" s="81"/>
      <c r="GC363" s="81"/>
      <c r="GD363" s="81"/>
      <c r="GE363" s="81"/>
      <c r="GF363" s="81"/>
      <c r="GG363" s="81"/>
      <c r="GH363" s="81"/>
      <c r="GI363" s="81"/>
      <c r="GJ363" s="81"/>
      <c r="GK363" s="81"/>
      <c r="GL363" s="81"/>
      <c r="GM363" s="81"/>
      <c r="GN363" s="81"/>
      <c r="GO363" s="81"/>
      <c r="GP363" s="81"/>
      <c r="GQ363" s="81"/>
      <c r="GR363" s="81"/>
      <c r="GS363" s="81"/>
      <c r="GT363" s="81"/>
      <c r="GU363" s="81"/>
      <c r="GV363" s="81"/>
      <c r="GW363" s="81"/>
      <c r="GX363" s="81"/>
      <c r="GY363" s="81"/>
      <c r="GZ363" s="81"/>
      <c r="HA363" s="81"/>
      <c r="HB363" s="81"/>
      <c r="HC363" s="81"/>
      <c r="HD363" s="81"/>
      <c r="HE363" s="81"/>
      <c r="HF363" s="81"/>
      <c r="HG363" s="81"/>
      <c r="HH363" s="81"/>
      <c r="HI363" s="81"/>
      <c r="HJ363" s="81"/>
      <c r="HK363" s="81"/>
      <c r="HL363" s="81"/>
      <c r="HM363" s="81"/>
      <c r="HN363" s="81"/>
      <c r="HO363" s="81"/>
      <c r="HP363" s="81"/>
      <c r="HQ363" s="81"/>
      <c r="HR363" s="81"/>
      <c r="HS363" s="81"/>
      <c r="HT363" s="81"/>
      <c r="HU363" s="81"/>
      <c r="HV363" s="81"/>
      <c r="HW363" s="81"/>
      <c r="HX363" s="81"/>
      <c r="HY363" s="81"/>
      <c r="HZ363" s="81"/>
      <c r="IA363" s="81"/>
      <c r="IB363" s="81"/>
      <c r="IC363" s="81"/>
      <c r="ID363" s="81"/>
      <c r="IE363" s="81"/>
      <c r="IF363" s="81"/>
      <c r="IG363" s="81"/>
      <c r="IH363" s="81"/>
      <c r="II363" s="81"/>
      <c r="IJ363" s="81"/>
    </row>
    <row r="364" spans="1:244" s="84" customFormat="1" ht="28.5" x14ac:dyDescent="0.2">
      <c r="A364" s="54"/>
      <c r="B364" s="44" t="s">
        <v>495</v>
      </c>
      <c r="C364" s="42" t="s">
        <v>55</v>
      </c>
      <c r="D364" s="46">
        <f>D362</f>
        <v>1</v>
      </c>
      <c r="E364" s="45">
        <v>0.04</v>
      </c>
      <c r="F364" s="55">
        <f>D364*E364</f>
        <v>0.04</v>
      </c>
      <c r="G364" s="42" t="s">
        <v>55</v>
      </c>
      <c r="H364" s="41"/>
      <c r="I364" s="41"/>
      <c r="J364" s="41">
        <f>$D364*H364</f>
        <v>0</v>
      </c>
      <c r="K364" s="41">
        <f t="shared" si="107"/>
        <v>0</v>
      </c>
      <c r="L364" s="41">
        <f>J364+K364</f>
        <v>0</v>
      </c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  <c r="DK364" s="81"/>
      <c r="DL364" s="81"/>
      <c r="DM364" s="81"/>
      <c r="DN364" s="81"/>
      <c r="DO364" s="81"/>
      <c r="DP364" s="81"/>
      <c r="DQ364" s="81"/>
      <c r="DR364" s="81"/>
      <c r="DS364" s="81"/>
      <c r="DT364" s="81"/>
      <c r="DU364" s="81"/>
      <c r="DV364" s="81"/>
      <c r="DW364" s="81"/>
      <c r="DX364" s="81"/>
      <c r="DY364" s="81"/>
      <c r="DZ364" s="81"/>
      <c r="EA364" s="81"/>
      <c r="EB364" s="81"/>
      <c r="EC364" s="81"/>
      <c r="ED364" s="81"/>
      <c r="EE364" s="81"/>
      <c r="EF364" s="81"/>
      <c r="EG364" s="81"/>
      <c r="EH364" s="81"/>
      <c r="EI364" s="81"/>
      <c r="EJ364" s="81"/>
      <c r="EK364" s="81"/>
      <c r="EL364" s="81"/>
      <c r="EM364" s="81"/>
      <c r="EN364" s="81"/>
      <c r="EO364" s="81"/>
      <c r="EP364" s="81"/>
      <c r="EQ364" s="81"/>
      <c r="ER364" s="81"/>
      <c r="ES364" s="81"/>
      <c r="ET364" s="81"/>
      <c r="EU364" s="81"/>
      <c r="EV364" s="81"/>
      <c r="EW364" s="81"/>
      <c r="EX364" s="81"/>
      <c r="EY364" s="81"/>
      <c r="EZ364" s="81"/>
      <c r="FA364" s="81"/>
      <c r="FB364" s="81"/>
      <c r="FC364" s="81"/>
      <c r="FD364" s="81"/>
      <c r="FE364" s="81"/>
      <c r="FF364" s="81"/>
      <c r="FG364" s="81"/>
      <c r="FH364" s="81"/>
      <c r="FI364" s="81"/>
      <c r="FJ364" s="81"/>
      <c r="FK364" s="81"/>
      <c r="FL364" s="81"/>
      <c r="FM364" s="81"/>
      <c r="FN364" s="81"/>
      <c r="FO364" s="81"/>
      <c r="FP364" s="81"/>
      <c r="FQ364" s="81"/>
      <c r="FR364" s="81"/>
      <c r="FS364" s="81"/>
      <c r="FT364" s="81"/>
      <c r="FU364" s="81"/>
      <c r="FV364" s="81"/>
      <c r="FW364" s="81"/>
      <c r="FX364" s="81"/>
      <c r="FY364" s="81"/>
      <c r="FZ364" s="81"/>
      <c r="GA364" s="81"/>
      <c r="GB364" s="81"/>
      <c r="GC364" s="81"/>
      <c r="GD364" s="81"/>
      <c r="GE364" s="81"/>
      <c r="GF364" s="81"/>
      <c r="GG364" s="81"/>
      <c r="GH364" s="81"/>
      <c r="GI364" s="81"/>
      <c r="GJ364" s="81"/>
      <c r="GK364" s="81"/>
      <c r="GL364" s="81"/>
      <c r="GM364" s="81"/>
      <c r="GN364" s="81"/>
      <c r="GO364" s="81"/>
      <c r="GP364" s="81"/>
      <c r="GQ364" s="81"/>
      <c r="GR364" s="81"/>
      <c r="GS364" s="81"/>
      <c r="GT364" s="81"/>
      <c r="GU364" s="81"/>
      <c r="GV364" s="81"/>
      <c r="GW364" s="81"/>
      <c r="GX364" s="81"/>
      <c r="GY364" s="81"/>
      <c r="GZ364" s="81"/>
      <c r="HA364" s="81"/>
      <c r="HB364" s="81"/>
      <c r="HC364" s="81"/>
      <c r="HD364" s="81"/>
      <c r="HE364" s="81"/>
      <c r="HF364" s="81"/>
      <c r="HG364" s="81"/>
      <c r="HH364" s="81"/>
      <c r="HI364" s="81"/>
      <c r="HJ364" s="81"/>
      <c r="HK364" s="81"/>
      <c r="HL364" s="81"/>
      <c r="HM364" s="81"/>
      <c r="HN364" s="81"/>
      <c r="HO364" s="81"/>
      <c r="HP364" s="81"/>
      <c r="HQ364" s="81"/>
      <c r="HR364" s="81"/>
      <c r="HS364" s="81"/>
      <c r="HT364" s="81"/>
      <c r="HU364" s="81"/>
      <c r="HV364" s="81"/>
      <c r="HW364" s="81"/>
      <c r="HX364" s="81"/>
      <c r="HY364" s="81"/>
      <c r="HZ364" s="81"/>
      <c r="IA364" s="81"/>
      <c r="IB364" s="81"/>
      <c r="IC364" s="81"/>
      <c r="ID364" s="81"/>
      <c r="IE364" s="81"/>
      <c r="IF364" s="81"/>
      <c r="IG364" s="81"/>
      <c r="IH364" s="81"/>
      <c r="II364" s="81"/>
      <c r="IJ364" s="81"/>
    </row>
    <row r="365" spans="1:244" s="81" customFormat="1" x14ac:dyDescent="0.2">
      <c r="A365" s="84"/>
      <c r="B365" s="85"/>
      <c r="C365" s="41"/>
      <c r="D365" s="41"/>
      <c r="E365" s="45"/>
      <c r="F365" s="41"/>
      <c r="G365" s="41"/>
      <c r="H365" s="75"/>
      <c r="I365" s="75"/>
      <c r="J365" s="41"/>
      <c r="K365" s="41"/>
      <c r="L365" s="41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8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8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84"/>
      <c r="DH365" s="84"/>
      <c r="DI365" s="84"/>
      <c r="DJ365" s="84"/>
      <c r="DK365" s="84"/>
      <c r="DL365" s="84"/>
      <c r="DM365" s="84"/>
      <c r="DN365" s="84"/>
      <c r="DO365" s="84"/>
      <c r="DP365" s="84"/>
      <c r="DQ365" s="84"/>
      <c r="DR365" s="84"/>
      <c r="DS365" s="84"/>
      <c r="DT365" s="84"/>
      <c r="DU365" s="84"/>
      <c r="DV365" s="84"/>
      <c r="DW365" s="84"/>
      <c r="DX365" s="84"/>
      <c r="DY365" s="84"/>
      <c r="DZ365" s="84"/>
      <c r="EA365" s="84"/>
      <c r="EB365" s="84"/>
      <c r="EC365" s="84"/>
      <c r="ED365" s="84"/>
      <c r="EE365" s="84"/>
      <c r="EF365" s="84"/>
      <c r="EG365" s="84"/>
      <c r="EH365" s="84"/>
      <c r="EI365" s="84"/>
      <c r="EJ365" s="84"/>
      <c r="EK365" s="84"/>
      <c r="EL365" s="84"/>
      <c r="EM365" s="84"/>
      <c r="EN365" s="84"/>
      <c r="EO365" s="84"/>
      <c r="EP365" s="84"/>
      <c r="EQ365" s="84"/>
      <c r="ER365" s="84"/>
      <c r="ES365" s="84"/>
      <c r="ET365" s="84"/>
      <c r="EU365" s="84"/>
      <c r="EV365" s="84"/>
      <c r="EW365" s="84"/>
      <c r="EX365" s="84"/>
      <c r="EY365" s="84"/>
      <c r="EZ365" s="84"/>
      <c r="FA365" s="84"/>
      <c r="FB365" s="84"/>
      <c r="FC365" s="84"/>
      <c r="FD365" s="84"/>
      <c r="FE365" s="84"/>
      <c r="FF365" s="84"/>
      <c r="FG365" s="84"/>
      <c r="FH365" s="84"/>
      <c r="FI365" s="84"/>
      <c r="FJ365" s="84"/>
      <c r="FK365" s="84"/>
      <c r="FL365" s="84"/>
      <c r="FM365" s="84"/>
      <c r="FN365" s="84"/>
      <c r="FO365" s="84"/>
      <c r="FP365" s="84"/>
      <c r="FQ365" s="84"/>
      <c r="FR365" s="84"/>
      <c r="FS365" s="84"/>
      <c r="FT365" s="84"/>
      <c r="FU365" s="84"/>
      <c r="FV365" s="84"/>
      <c r="FW365" s="84"/>
      <c r="FX365" s="84"/>
      <c r="FY365" s="84"/>
      <c r="FZ365" s="84"/>
      <c r="GA365" s="84"/>
      <c r="GB365" s="84"/>
      <c r="GC365" s="84"/>
      <c r="GD365" s="84"/>
      <c r="GE365" s="84"/>
      <c r="GF365" s="84"/>
      <c r="GG365" s="84"/>
      <c r="GH365" s="84"/>
      <c r="GI365" s="84"/>
      <c r="GJ365" s="84"/>
      <c r="GK365" s="84"/>
      <c r="GL365" s="84"/>
      <c r="GM365" s="84"/>
      <c r="GN365" s="84"/>
      <c r="GO365" s="84"/>
      <c r="GP365" s="84"/>
      <c r="GQ365" s="84"/>
      <c r="GR365" s="84"/>
      <c r="GS365" s="84"/>
      <c r="GT365" s="84"/>
      <c r="GU365" s="84"/>
      <c r="GV365" s="84"/>
      <c r="GW365" s="84"/>
      <c r="GX365" s="84"/>
      <c r="GY365" s="84"/>
      <c r="GZ365" s="84"/>
      <c r="HA365" s="84"/>
      <c r="HB365" s="84"/>
      <c r="HC365" s="84"/>
      <c r="HD365" s="84"/>
      <c r="HE365" s="84"/>
      <c r="HF365" s="84"/>
      <c r="HG365" s="84"/>
      <c r="HH365" s="84"/>
      <c r="HI365" s="84"/>
      <c r="HJ365" s="84"/>
      <c r="HK365" s="84"/>
      <c r="HL365" s="84"/>
      <c r="HM365" s="84"/>
      <c r="HN365" s="84"/>
      <c r="HO365" s="84"/>
      <c r="HP365" s="84"/>
      <c r="HQ365" s="84"/>
      <c r="HR365" s="84"/>
      <c r="HS365" s="84"/>
      <c r="HT365" s="84"/>
      <c r="HU365" s="84"/>
      <c r="HV365" s="84"/>
      <c r="HW365" s="84"/>
      <c r="HX365" s="84"/>
      <c r="HY365" s="84"/>
      <c r="HZ365" s="84"/>
      <c r="IA365" s="84"/>
      <c r="IB365" s="84"/>
      <c r="IC365" s="84"/>
      <c r="ID365" s="84"/>
      <c r="IE365" s="84"/>
      <c r="IF365" s="84"/>
      <c r="IG365" s="84"/>
      <c r="IH365" s="84"/>
      <c r="II365" s="84"/>
      <c r="IJ365" s="84"/>
    </row>
    <row r="366" spans="1:244" s="81" customFormat="1" x14ac:dyDescent="0.2">
      <c r="A366" s="54"/>
      <c r="B366" s="94" t="s">
        <v>479</v>
      </c>
      <c r="C366" s="41"/>
      <c r="D366" s="41"/>
      <c r="E366" s="45"/>
      <c r="F366" s="55"/>
      <c r="G366" s="41"/>
      <c r="H366" s="41"/>
      <c r="I366" s="41"/>
      <c r="J366" s="41"/>
      <c r="K366" s="41"/>
      <c r="L366" s="41"/>
    </row>
    <row r="367" spans="1:244" s="43" customFormat="1" ht="25.5" x14ac:dyDescent="0.2">
      <c r="A367" s="54"/>
      <c r="B367" s="44" t="s">
        <v>481</v>
      </c>
      <c r="C367" s="41" t="s">
        <v>70</v>
      </c>
      <c r="D367" s="46">
        <f>CEILING(1.01*(2.5+1.5),1)</f>
        <v>5</v>
      </c>
      <c r="E367" s="45">
        <v>2.9849999999999999</v>
      </c>
      <c r="F367" s="55">
        <f t="shared" ref="F367" si="108">D367*E367</f>
        <v>14.924999999999999</v>
      </c>
      <c r="G367" s="41" t="s">
        <v>71</v>
      </c>
      <c r="H367" s="41"/>
      <c r="I367" s="41"/>
      <c r="J367" s="41">
        <f t="shared" ref="J367:K370" si="109">$D367*H367</f>
        <v>0</v>
      </c>
      <c r="K367" s="41">
        <f t="shared" si="109"/>
        <v>0</v>
      </c>
      <c r="L367" s="41">
        <f t="shared" ref="L367" si="110">J367+K367</f>
        <v>0</v>
      </c>
    </row>
    <row r="368" spans="1:244" customFormat="1" ht="25.5" x14ac:dyDescent="0.2">
      <c r="B368" s="110" t="s">
        <v>480</v>
      </c>
      <c r="C368" s="41" t="s">
        <v>55</v>
      </c>
      <c r="D368" s="41">
        <f>2</f>
        <v>2</v>
      </c>
      <c r="E368" s="45">
        <v>0.62</v>
      </c>
      <c r="F368" s="41">
        <f t="shared" ref="F368" si="111">D368*E368</f>
        <v>1.24</v>
      </c>
      <c r="G368" s="41" t="s">
        <v>55</v>
      </c>
      <c r="H368" s="75"/>
      <c r="I368" s="75"/>
      <c r="J368" s="41">
        <f t="shared" si="109"/>
        <v>0</v>
      </c>
      <c r="K368" s="41">
        <f t="shared" si="109"/>
        <v>0</v>
      </c>
      <c r="L368" s="41">
        <f t="shared" ref="L368" si="112">J368+K368</f>
        <v>0</v>
      </c>
    </row>
    <row r="369" spans="1:244" s="43" customFormat="1" ht="38.25" x14ac:dyDescent="0.2">
      <c r="A369" s="54"/>
      <c r="B369" s="44" t="s">
        <v>400</v>
      </c>
      <c r="C369" s="41" t="s">
        <v>55</v>
      </c>
      <c r="D369" s="41">
        <f>1</f>
        <v>1</v>
      </c>
      <c r="E369" s="45">
        <v>0.14000000000000001</v>
      </c>
      <c r="F369" s="55">
        <f>D369*E369</f>
        <v>0.14000000000000001</v>
      </c>
      <c r="G369" s="41" t="s">
        <v>55</v>
      </c>
      <c r="H369" s="41"/>
      <c r="I369" s="41"/>
      <c r="J369" s="41">
        <f t="shared" si="109"/>
        <v>0</v>
      </c>
      <c r="K369" s="41">
        <f t="shared" si="109"/>
        <v>0</v>
      </c>
      <c r="L369" s="41">
        <f>J369+K369</f>
        <v>0</v>
      </c>
    </row>
    <row r="370" spans="1:244" s="43" customFormat="1" ht="38.25" x14ac:dyDescent="0.2">
      <c r="A370" s="54"/>
      <c r="B370" s="44" t="s">
        <v>482</v>
      </c>
      <c r="C370" s="41" t="s">
        <v>55</v>
      </c>
      <c r="D370" s="41">
        <f>2</f>
        <v>2</v>
      </c>
      <c r="E370" s="45">
        <v>3</v>
      </c>
      <c r="F370" s="55">
        <f t="shared" ref="F370" si="113">D370*E370</f>
        <v>6</v>
      </c>
      <c r="G370" s="41" t="s">
        <v>55</v>
      </c>
      <c r="H370" s="41"/>
      <c r="I370" s="41"/>
      <c r="J370" s="41">
        <f t="shared" ref="J370" si="114">$D370*H370</f>
        <v>0</v>
      </c>
      <c r="K370" s="41">
        <f t="shared" si="109"/>
        <v>0</v>
      </c>
      <c r="L370" s="41">
        <f t="shared" ref="L370" si="115">J370+K370</f>
        <v>0</v>
      </c>
    </row>
    <row r="371" spans="1:244" x14ac:dyDescent="0.2">
      <c r="A371" s="18"/>
      <c r="B371" s="13"/>
      <c r="C371" s="12"/>
      <c r="D371" s="24"/>
      <c r="E371" s="12"/>
      <c r="F371" s="12"/>
      <c r="G371" s="12"/>
      <c r="H371" s="11"/>
      <c r="I371" s="11"/>
      <c r="J371" s="11"/>
      <c r="K371" s="11"/>
      <c r="L371" s="11"/>
    </row>
    <row r="372" spans="1:244" x14ac:dyDescent="0.2">
      <c r="A372" s="18"/>
      <c r="B372" s="9" t="s">
        <v>72</v>
      </c>
      <c r="C372" s="12" t="s">
        <v>73</v>
      </c>
      <c r="D372" s="24">
        <f>24</f>
        <v>24</v>
      </c>
      <c r="E372" s="12"/>
      <c r="F372" s="12"/>
      <c r="G372" s="12" t="s">
        <v>73</v>
      </c>
      <c r="H372" s="11"/>
      <c r="I372" s="11"/>
      <c r="J372" s="11"/>
      <c r="K372" s="11">
        <f>$D372*I372</f>
        <v>0</v>
      </c>
      <c r="L372" s="11">
        <f>J372+K372</f>
        <v>0</v>
      </c>
    </row>
    <row r="373" spans="1:244" s="43" customFormat="1" x14ac:dyDescent="0.2">
      <c r="A373" s="16"/>
      <c r="B373" s="2"/>
      <c r="C373" s="3"/>
      <c r="D373" s="1"/>
      <c r="E373" s="1"/>
      <c r="F373" s="1"/>
      <c r="G373" s="1"/>
      <c r="H373" s="3"/>
      <c r="I373" s="3"/>
      <c r="J373" s="3"/>
      <c r="K373" s="3"/>
      <c r="L373" s="1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</row>
    <row r="374" spans="1:244" s="43" customFormat="1" x14ac:dyDescent="0.2">
      <c r="A374" s="48"/>
      <c r="B374" s="49" t="s">
        <v>59</v>
      </c>
      <c r="C374" s="41"/>
      <c r="D374" s="1"/>
      <c r="E374" s="50"/>
      <c r="F374" s="50">
        <f>SUM(F173:F372)</f>
        <v>1636.5909999999997</v>
      </c>
      <c r="G374" s="50"/>
      <c r="H374" s="50"/>
      <c r="I374" s="50"/>
      <c r="J374" s="50">
        <f>CEILING(SUM(J173:J372)*1.1,100)</f>
        <v>0</v>
      </c>
      <c r="K374" s="50">
        <f>CEILING(SUM(K173:K372)*1.1,100)</f>
        <v>0</v>
      </c>
      <c r="L374" s="50">
        <f>J374+K374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</row>
    <row r="375" spans="1:244" s="43" customFormat="1" x14ac:dyDescent="0.2">
      <c r="A375" s="18"/>
      <c r="B375" s="9"/>
      <c r="C375" s="12"/>
      <c r="D375" s="24"/>
      <c r="E375" s="12"/>
      <c r="F375" s="12"/>
      <c r="G375" s="12"/>
      <c r="H375" s="11"/>
      <c r="I375" s="11"/>
      <c r="J375" s="11"/>
      <c r="K375" s="11"/>
      <c r="L375" s="11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</row>
    <row r="376" spans="1:244" s="43" customFormat="1" x14ac:dyDescent="0.2">
      <c r="A376" s="95" t="s">
        <v>112</v>
      </c>
      <c r="B376" s="5" t="s">
        <v>88</v>
      </c>
      <c r="C376" s="12"/>
      <c r="D376" s="24"/>
      <c r="E376" s="12"/>
      <c r="F376" s="12"/>
      <c r="G376" s="12"/>
      <c r="H376" s="11"/>
      <c r="I376" s="11"/>
      <c r="J376" s="11"/>
      <c r="K376" s="11"/>
      <c r="L376" s="11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</row>
    <row r="377" spans="1:244" s="43" customFormat="1" x14ac:dyDescent="0.2">
      <c r="A377" s="95"/>
      <c r="B377" s="5"/>
      <c r="C377" s="12"/>
      <c r="D377" s="24"/>
      <c r="E377" s="12"/>
      <c r="F377" s="12"/>
      <c r="G377" s="12"/>
      <c r="H377" s="11"/>
      <c r="I377" s="11"/>
      <c r="J377" s="11"/>
      <c r="K377" s="11"/>
      <c r="L377" s="11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</row>
    <row r="378" spans="1:244" s="43" customFormat="1" ht="300" customHeight="1" x14ac:dyDescent="0.2">
      <c r="A378" s="95"/>
      <c r="B378" s="111" t="s">
        <v>359</v>
      </c>
      <c r="C378" s="111"/>
      <c r="D378" s="111"/>
      <c r="E378" s="111"/>
      <c r="F378" s="12"/>
      <c r="G378" s="12"/>
      <c r="H378" s="11"/>
      <c r="I378" s="11"/>
      <c r="J378" s="11"/>
      <c r="K378" s="11"/>
      <c r="L378" s="1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</row>
    <row r="379" spans="1:244" s="43" customFormat="1" x14ac:dyDescent="0.2">
      <c r="A379" s="95"/>
      <c r="B379" s="8"/>
      <c r="C379" s="8"/>
      <c r="D379" s="8"/>
      <c r="E379" s="8"/>
      <c r="F379" s="12"/>
      <c r="G379" s="12"/>
      <c r="H379" s="11"/>
      <c r="I379" s="11"/>
      <c r="J379" s="11"/>
      <c r="K379" s="11"/>
      <c r="L379" s="1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</row>
    <row r="380" spans="1:244" s="81" customFormat="1" ht="51" x14ac:dyDescent="0.2">
      <c r="A380" s="54"/>
      <c r="B380" s="44" t="s">
        <v>380</v>
      </c>
      <c r="C380" s="41" t="s">
        <v>78</v>
      </c>
      <c r="D380" s="55">
        <f>CEILING(1*2*1.1*(PI()*(1600+2*19)*(2880+2*19)+2*PI()*((1600+2*19)^2)/4)/1000000,1)</f>
        <v>43</v>
      </c>
      <c r="E380" s="43"/>
      <c r="F380" s="41"/>
      <c r="G380" s="41" t="s">
        <v>78</v>
      </c>
      <c r="H380" s="41"/>
      <c r="I380" s="41"/>
      <c r="J380" s="41">
        <f>CEILING($D380*H380,10)</f>
        <v>0</v>
      </c>
      <c r="K380" s="41">
        <f>CEILING($D380*I380,10)</f>
        <v>0</v>
      </c>
      <c r="L380" s="41">
        <f>J380+K380</f>
        <v>0</v>
      </c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43"/>
      <c r="BY380" s="43"/>
      <c r="BZ380" s="43"/>
      <c r="CA380" s="43"/>
      <c r="CB380" s="43"/>
      <c r="CC380" s="43"/>
      <c r="CD380" s="43"/>
      <c r="CE380" s="43"/>
      <c r="CF380" s="43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  <c r="EL380" s="43"/>
      <c r="EM380" s="43"/>
      <c r="EN380" s="43"/>
      <c r="EO380" s="43"/>
      <c r="EP380" s="43"/>
      <c r="EQ380" s="43"/>
      <c r="ER380" s="43"/>
      <c r="ES380" s="43"/>
      <c r="ET380" s="43"/>
      <c r="EU380" s="43"/>
      <c r="EV380" s="43"/>
      <c r="EW380" s="43"/>
      <c r="EX380" s="43"/>
      <c r="EY380" s="43"/>
      <c r="EZ380" s="43"/>
      <c r="FA380" s="43"/>
      <c r="FB380" s="43"/>
      <c r="FC380" s="43"/>
      <c r="FD380" s="43"/>
      <c r="FE380" s="43"/>
      <c r="FF380" s="43"/>
      <c r="FG380" s="43"/>
      <c r="FH380" s="43"/>
      <c r="FI380" s="43"/>
      <c r="FJ380" s="43"/>
      <c r="FK380" s="43"/>
      <c r="FL380" s="43"/>
      <c r="FM380" s="43"/>
      <c r="FN380" s="43"/>
      <c r="FO380" s="43"/>
      <c r="FP380" s="43"/>
      <c r="FQ380" s="43"/>
      <c r="FR380" s="43"/>
      <c r="FS380" s="43"/>
      <c r="FT380" s="43"/>
      <c r="FU380" s="43"/>
      <c r="FV380" s="43"/>
      <c r="FW380" s="43"/>
      <c r="FX380" s="43"/>
      <c r="FY380" s="43"/>
      <c r="FZ380" s="43"/>
      <c r="GA380" s="43"/>
      <c r="GB380" s="43"/>
      <c r="GC380" s="43"/>
      <c r="GD380" s="43"/>
      <c r="GE380" s="43"/>
      <c r="GF380" s="43"/>
      <c r="GG380" s="43"/>
      <c r="GH380" s="43"/>
      <c r="GI380" s="43"/>
      <c r="GJ380" s="43"/>
      <c r="GK380" s="43"/>
      <c r="GL380" s="43"/>
      <c r="GM380" s="43"/>
      <c r="GN380" s="43"/>
      <c r="GO380" s="43"/>
      <c r="GP380" s="43"/>
      <c r="GQ380" s="43"/>
      <c r="GR380" s="43"/>
      <c r="GS380" s="43"/>
      <c r="GT380" s="43"/>
      <c r="GU380" s="43"/>
      <c r="GV380" s="43"/>
      <c r="GW380" s="43"/>
      <c r="GX380" s="43"/>
      <c r="GY380" s="43"/>
      <c r="GZ380" s="43"/>
      <c r="HA380" s="43"/>
      <c r="HB380" s="43"/>
      <c r="HC380" s="43"/>
      <c r="HD380" s="43"/>
      <c r="HE380" s="43"/>
      <c r="HF380" s="43"/>
      <c r="HG380" s="43"/>
      <c r="HH380" s="43"/>
      <c r="HI380" s="43"/>
      <c r="HJ380" s="43"/>
      <c r="HK380" s="43"/>
      <c r="HL380" s="43"/>
      <c r="HM380" s="43"/>
      <c r="HN380" s="43"/>
      <c r="HO380" s="43"/>
      <c r="HP380" s="43"/>
      <c r="HQ380" s="43"/>
      <c r="HR380" s="43"/>
      <c r="HS380" s="43"/>
      <c r="HT380" s="43"/>
      <c r="HU380" s="43"/>
      <c r="HV380" s="43"/>
      <c r="HW380" s="43"/>
      <c r="HX380" s="43"/>
      <c r="HY380" s="43"/>
      <c r="HZ380" s="43"/>
      <c r="IA380" s="43"/>
      <c r="IB380" s="43"/>
      <c r="IC380" s="43"/>
      <c r="ID380" s="43"/>
      <c r="IE380" s="43"/>
      <c r="IF380" s="43"/>
      <c r="IG380" s="43"/>
      <c r="IH380" s="43"/>
      <c r="II380" s="43"/>
      <c r="IJ380" s="43"/>
    </row>
    <row r="382" spans="1:244" s="81" customFormat="1" ht="25.5" x14ac:dyDescent="0.2">
      <c r="A382" s="54"/>
      <c r="B382" s="40" t="s">
        <v>298</v>
      </c>
      <c r="C382" s="41" t="s">
        <v>91</v>
      </c>
      <c r="D382" s="55">
        <v>1</v>
      </c>
      <c r="E382" s="43"/>
      <c r="F382" s="41"/>
      <c r="G382" s="41" t="s">
        <v>91</v>
      </c>
      <c r="H382" s="41"/>
      <c r="I382" s="41"/>
      <c r="J382" s="41">
        <f>$D382*H382</f>
        <v>0</v>
      </c>
      <c r="K382" s="41">
        <f>CEILING($D382*I382,10)</f>
        <v>0</v>
      </c>
      <c r="L382" s="41">
        <f>J382+K382</f>
        <v>0</v>
      </c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  <c r="EM382" s="43"/>
      <c r="EN382" s="43"/>
      <c r="EO382" s="43"/>
      <c r="EP382" s="43"/>
      <c r="EQ382" s="43"/>
      <c r="ER382" s="43"/>
      <c r="ES382" s="43"/>
      <c r="ET382" s="43"/>
      <c r="EU382" s="43"/>
      <c r="EV382" s="43"/>
      <c r="EW382" s="43"/>
      <c r="EX382" s="43"/>
      <c r="EY382" s="43"/>
      <c r="EZ382" s="43"/>
      <c r="FA382" s="43"/>
      <c r="FB382" s="43"/>
      <c r="FC382" s="43"/>
      <c r="FD382" s="43"/>
      <c r="FE382" s="43"/>
      <c r="FF382" s="43"/>
      <c r="FG382" s="43"/>
      <c r="FH382" s="43"/>
      <c r="FI382" s="43"/>
      <c r="FJ382" s="43"/>
      <c r="FK382" s="43"/>
      <c r="FL382" s="43"/>
      <c r="FM382" s="43"/>
      <c r="FN382" s="43"/>
      <c r="FO382" s="43"/>
      <c r="FP382" s="43"/>
      <c r="FQ382" s="43"/>
      <c r="FR382" s="43"/>
      <c r="FS382" s="43"/>
      <c r="FT382" s="43"/>
      <c r="FU382" s="43"/>
      <c r="FV382" s="43"/>
      <c r="FW382" s="43"/>
      <c r="FX382" s="43"/>
      <c r="FY382" s="43"/>
      <c r="FZ382" s="43"/>
      <c r="GA382" s="43"/>
      <c r="GB382" s="43"/>
      <c r="GC382" s="43"/>
      <c r="GD382" s="43"/>
      <c r="GE382" s="43"/>
      <c r="GF382" s="43"/>
      <c r="GG382" s="43"/>
      <c r="GH382" s="43"/>
      <c r="GI382" s="43"/>
      <c r="GJ382" s="43"/>
      <c r="GK382" s="43"/>
      <c r="GL382" s="43"/>
      <c r="GM382" s="43"/>
      <c r="GN382" s="43"/>
      <c r="GO382" s="43"/>
      <c r="GP382" s="43"/>
      <c r="GQ382" s="43"/>
      <c r="GR382" s="43"/>
      <c r="GS382" s="43"/>
      <c r="GT382" s="43"/>
      <c r="GU382" s="43"/>
      <c r="GV382" s="43"/>
      <c r="GW382" s="43"/>
      <c r="GX382" s="43"/>
      <c r="GY382" s="43"/>
      <c r="GZ382" s="43"/>
      <c r="HA382" s="43"/>
      <c r="HB382" s="43"/>
      <c r="HC382" s="43"/>
      <c r="HD382" s="43"/>
      <c r="HE382" s="43"/>
      <c r="HF382" s="43"/>
      <c r="HG382" s="43"/>
      <c r="HH382" s="43"/>
      <c r="HI382" s="43"/>
      <c r="HJ382" s="43"/>
      <c r="HK382" s="43"/>
      <c r="HL382" s="43"/>
      <c r="HM382" s="43"/>
      <c r="HN382" s="43"/>
      <c r="HO382" s="43"/>
      <c r="HP382" s="43"/>
      <c r="HQ382" s="43"/>
      <c r="HR382" s="43"/>
      <c r="HS382" s="43"/>
      <c r="HT382" s="43"/>
      <c r="HU382" s="43"/>
      <c r="HV382" s="43"/>
      <c r="HW382" s="43"/>
      <c r="HX382" s="43"/>
      <c r="HY382" s="43"/>
      <c r="HZ382" s="43"/>
      <c r="IA382" s="43"/>
      <c r="IB382" s="43"/>
      <c r="IC382" s="43"/>
      <c r="ID382" s="43"/>
      <c r="IE382" s="43"/>
      <c r="IF382" s="43"/>
      <c r="IG382" s="43"/>
      <c r="IH382" s="43"/>
      <c r="II382" s="43"/>
      <c r="IJ382" s="43"/>
    </row>
    <row r="383" spans="1:244" s="81" customFormat="1" ht="25.5" x14ac:dyDescent="0.2">
      <c r="A383" s="54"/>
      <c r="B383" s="40" t="s">
        <v>500</v>
      </c>
      <c r="C383" s="41" t="s">
        <v>78</v>
      </c>
      <c r="D383" s="55">
        <f>CEILING(1*1.1*(2*0.618*0.91+2*(0.618+0.91*0.296)),1)</f>
        <v>4</v>
      </c>
      <c r="E383" s="43"/>
      <c r="F383" s="41"/>
      <c r="G383" s="41" t="s">
        <v>91</v>
      </c>
      <c r="H383" s="41"/>
      <c r="I383" s="41"/>
      <c r="J383" s="41">
        <f>CEILING($D383*H383,10)</f>
        <v>0</v>
      </c>
      <c r="K383" s="41">
        <f>CEILING($D383*I383,10)</f>
        <v>0</v>
      </c>
      <c r="L383" s="41">
        <f>J383+K383</f>
        <v>0</v>
      </c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43"/>
      <c r="BY383" s="43"/>
      <c r="BZ383" s="43"/>
      <c r="CA383" s="43"/>
      <c r="CB383" s="43"/>
      <c r="CC383" s="43"/>
      <c r="CD383" s="43"/>
      <c r="CE383" s="43"/>
      <c r="CF383" s="43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3"/>
      <c r="DA383" s="43"/>
      <c r="DB383" s="43"/>
      <c r="DC383" s="43"/>
      <c r="DD383" s="43"/>
      <c r="DE383" s="43"/>
      <c r="DF383" s="43"/>
      <c r="DG383" s="43"/>
      <c r="DH383" s="43"/>
      <c r="DI383" s="43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  <c r="EL383" s="43"/>
      <c r="EM383" s="43"/>
      <c r="EN383" s="43"/>
      <c r="EO383" s="43"/>
      <c r="EP383" s="43"/>
      <c r="EQ383" s="43"/>
      <c r="ER383" s="43"/>
      <c r="ES383" s="43"/>
      <c r="ET383" s="43"/>
      <c r="EU383" s="43"/>
      <c r="EV383" s="43"/>
      <c r="EW383" s="43"/>
      <c r="EX383" s="43"/>
      <c r="EY383" s="43"/>
      <c r="EZ383" s="43"/>
      <c r="FA383" s="43"/>
      <c r="FB383" s="43"/>
      <c r="FC383" s="43"/>
      <c r="FD383" s="43"/>
      <c r="FE383" s="43"/>
      <c r="FF383" s="43"/>
      <c r="FG383" s="43"/>
      <c r="FH383" s="43"/>
      <c r="FI383" s="43"/>
      <c r="FJ383" s="43"/>
      <c r="FK383" s="43"/>
      <c r="FL383" s="43"/>
      <c r="FM383" s="43"/>
      <c r="FN383" s="43"/>
      <c r="FO383" s="43"/>
      <c r="FP383" s="43"/>
      <c r="FQ383" s="43"/>
      <c r="FR383" s="43"/>
      <c r="FS383" s="43"/>
      <c r="FT383" s="43"/>
      <c r="FU383" s="43"/>
      <c r="FV383" s="43"/>
      <c r="FW383" s="43"/>
      <c r="FX383" s="43"/>
      <c r="FY383" s="43"/>
      <c r="FZ383" s="43"/>
      <c r="GA383" s="43"/>
      <c r="GB383" s="43"/>
      <c r="GC383" s="43"/>
      <c r="GD383" s="43"/>
      <c r="GE383" s="43"/>
      <c r="GF383" s="43"/>
      <c r="GG383" s="43"/>
      <c r="GH383" s="43"/>
      <c r="GI383" s="43"/>
      <c r="GJ383" s="43"/>
      <c r="GK383" s="43"/>
      <c r="GL383" s="43"/>
      <c r="GM383" s="43"/>
      <c r="GN383" s="43"/>
      <c r="GO383" s="43"/>
      <c r="GP383" s="43"/>
      <c r="GQ383" s="43"/>
      <c r="GR383" s="43"/>
      <c r="GS383" s="43"/>
      <c r="GT383" s="43"/>
      <c r="GU383" s="43"/>
      <c r="GV383" s="43"/>
      <c r="GW383" s="43"/>
      <c r="GX383" s="43"/>
      <c r="GY383" s="43"/>
      <c r="GZ383" s="43"/>
      <c r="HA383" s="43"/>
      <c r="HB383" s="43"/>
      <c r="HC383" s="43"/>
      <c r="HD383" s="43"/>
      <c r="HE383" s="43"/>
      <c r="HF383" s="43"/>
      <c r="HG383" s="43"/>
      <c r="HH383" s="43"/>
      <c r="HI383" s="43"/>
      <c r="HJ383" s="43"/>
      <c r="HK383" s="43"/>
      <c r="HL383" s="43"/>
      <c r="HM383" s="43"/>
      <c r="HN383" s="43"/>
      <c r="HO383" s="43"/>
      <c r="HP383" s="43"/>
      <c r="HQ383" s="43"/>
      <c r="HR383" s="43"/>
      <c r="HS383" s="43"/>
      <c r="HT383" s="43"/>
      <c r="HU383" s="43"/>
      <c r="HV383" s="43"/>
      <c r="HW383" s="43"/>
      <c r="HX383" s="43"/>
      <c r="HY383" s="43"/>
      <c r="HZ383" s="43"/>
      <c r="IA383" s="43"/>
      <c r="IB383" s="43"/>
      <c r="IC383" s="43"/>
      <c r="ID383" s="43"/>
      <c r="IE383" s="43"/>
      <c r="IF383" s="43"/>
      <c r="IG383" s="43"/>
      <c r="IH383" s="43"/>
      <c r="II383" s="43"/>
      <c r="IJ383" s="43"/>
    </row>
    <row r="384" spans="1:244" s="81" customFormat="1" ht="25.5" x14ac:dyDescent="0.2">
      <c r="A384" s="54"/>
      <c r="B384" s="40" t="s">
        <v>299</v>
      </c>
      <c r="C384" s="41" t="s">
        <v>91</v>
      </c>
      <c r="D384" s="55">
        <v>1</v>
      </c>
      <c r="E384" s="43"/>
      <c r="F384" s="41"/>
      <c r="G384" s="41" t="s">
        <v>91</v>
      </c>
      <c r="H384" s="41"/>
      <c r="I384" s="41"/>
      <c r="J384" s="41">
        <f>$D384*H384</f>
        <v>0</v>
      </c>
      <c r="K384" s="41">
        <f>CEILING($D384*I384,10)</f>
        <v>0</v>
      </c>
      <c r="L384" s="41">
        <f>J384+K384</f>
        <v>0</v>
      </c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43"/>
      <c r="BY384" s="43"/>
      <c r="BZ384" s="43"/>
      <c r="CA384" s="43"/>
      <c r="CB384" s="43"/>
      <c r="CC384" s="43"/>
      <c r="CD384" s="43"/>
      <c r="CE384" s="43"/>
      <c r="CF384" s="43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  <c r="EL384" s="43"/>
      <c r="EM384" s="43"/>
      <c r="EN384" s="43"/>
      <c r="EO384" s="43"/>
      <c r="EP384" s="43"/>
      <c r="EQ384" s="43"/>
      <c r="ER384" s="43"/>
      <c r="ES384" s="43"/>
      <c r="ET384" s="43"/>
      <c r="EU384" s="43"/>
      <c r="EV384" s="43"/>
      <c r="EW384" s="43"/>
      <c r="EX384" s="43"/>
      <c r="EY384" s="43"/>
      <c r="EZ384" s="43"/>
      <c r="FA384" s="43"/>
      <c r="FB384" s="43"/>
      <c r="FC384" s="43"/>
      <c r="FD384" s="43"/>
      <c r="FE384" s="43"/>
      <c r="FF384" s="43"/>
      <c r="FG384" s="43"/>
      <c r="FH384" s="43"/>
      <c r="FI384" s="43"/>
      <c r="FJ384" s="43"/>
      <c r="FK384" s="43"/>
      <c r="FL384" s="43"/>
      <c r="FM384" s="43"/>
      <c r="FN384" s="43"/>
      <c r="FO384" s="43"/>
      <c r="FP384" s="43"/>
      <c r="FQ384" s="43"/>
      <c r="FR384" s="43"/>
      <c r="FS384" s="43"/>
      <c r="FT384" s="43"/>
      <c r="FU384" s="43"/>
      <c r="FV384" s="43"/>
      <c r="FW384" s="43"/>
      <c r="FX384" s="43"/>
      <c r="FY384" s="43"/>
      <c r="FZ384" s="43"/>
      <c r="GA384" s="43"/>
      <c r="GB384" s="43"/>
      <c r="GC384" s="43"/>
      <c r="GD384" s="43"/>
      <c r="GE384" s="43"/>
      <c r="GF384" s="43"/>
      <c r="GG384" s="43"/>
      <c r="GH384" s="43"/>
      <c r="GI384" s="43"/>
      <c r="GJ384" s="43"/>
      <c r="GK384" s="43"/>
      <c r="GL384" s="43"/>
      <c r="GM384" s="43"/>
      <c r="GN384" s="43"/>
      <c r="GO384" s="43"/>
      <c r="GP384" s="43"/>
      <c r="GQ384" s="43"/>
      <c r="GR384" s="43"/>
      <c r="GS384" s="43"/>
      <c r="GT384" s="43"/>
      <c r="GU384" s="43"/>
      <c r="GV384" s="43"/>
      <c r="GW384" s="43"/>
      <c r="GX384" s="43"/>
      <c r="GY384" s="43"/>
      <c r="GZ384" s="43"/>
      <c r="HA384" s="43"/>
      <c r="HB384" s="43"/>
      <c r="HC384" s="43"/>
      <c r="HD384" s="43"/>
      <c r="HE384" s="43"/>
      <c r="HF384" s="43"/>
      <c r="HG384" s="43"/>
      <c r="HH384" s="43"/>
      <c r="HI384" s="43"/>
      <c r="HJ384" s="43"/>
      <c r="HK384" s="43"/>
      <c r="HL384" s="43"/>
      <c r="HM384" s="43"/>
      <c r="HN384" s="43"/>
      <c r="HO384" s="43"/>
      <c r="HP384" s="43"/>
      <c r="HQ384" s="43"/>
      <c r="HR384" s="43"/>
      <c r="HS384" s="43"/>
      <c r="HT384" s="43"/>
      <c r="HU384" s="43"/>
      <c r="HV384" s="43"/>
      <c r="HW384" s="43"/>
      <c r="HX384" s="43"/>
      <c r="HY384" s="43"/>
      <c r="HZ384" s="43"/>
      <c r="IA384" s="43"/>
      <c r="IB384" s="43"/>
      <c r="IC384" s="43"/>
      <c r="ID384" s="43"/>
      <c r="IE384" s="43"/>
      <c r="IF384" s="43"/>
      <c r="IG384" s="43"/>
      <c r="IH384" s="43"/>
      <c r="II384" s="43"/>
      <c r="IJ384" s="43"/>
    </row>
    <row r="385" spans="1:244" x14ac:dyDescent="0.2">
      <c r="A385" s="54"/>
      <c r="B385" s="40"/>
      <c r="C385" s="41"/>
      <c r="D385" s="41"/>
      <c r="E385" s="43"/>
      <c r="F385" s="41"/>
      <c r="G385" s="41"/>
      <c r="H385" s="41"/>
      <c r="I385" s="41"/>
      <c r="J385" s="41"/>
      <c r="K385" s="41"/>
      <c r="L385" s="41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43"/>
      <c r="BZ385" s="43"/>
      <c r="CA385" s="43"/>
      <c r="CB385" s="43"/>
      <c r="CC385" s="43"/>
      <c r="CD385" s="43"/>
      <c r="CE385" s="43"/>
      <c r="CF385" s="43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/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  <c r="EL385" s="43"/>
      <c r="EM385" s="43"/>
      <c r="EN385" s="43"/>
      <c r="EO385" s="43"/>
      <c r="EP385" s="43"/>
      <c r="EQ385" s="43"/>
      <c r="ER385" s="43"/>
      <c r="ES385" s="43"/>
      <c r="ET385" s="43"/>
      <c r="EU385" s="43"/>
      <c r="EV385" s="43"/>
      <c r="EW385" s="43"/>
      <c r="EX385" s="43"/>
      <c r="EY385" s="43"/>
      <c r="EZ385" s="43"/>
      <c r="FA385" s="43"/>
      <c r="FB385" s="43"/>
      <c r="FC385" s="43"/>
      <c r="FD385" s="43"/>
      <c r="FE385" s="43"/>
      <c r="FF385" s="43"/>
      <c r="FG385" s="43"/>
      <c r="FH385" s="43"/>
      <c r="FI385" s="43"/>
      <c r="FJ385" s="43"/>
      <c r="FK385" s="43"/>
      <c r="FL385" s="43"/>
      <c r="FM385" s="43"/>
      <c r="FN385" s="43"/>
      <c r="FO385" s="43"/>
      <c r="FP385" s="43"/>
      <c r="FQ385" s="43"/>
      <c r="FR385" s="43"/>
      <c r="FS385" s="43"/>
      <c r="FT385" s="43"/>
      <c r="FU385" s="43"/>
      <c r="FV385" s="43"/>
      <c r="FW385" s="43"/>
      <c r="FX385" s="43"/>
      <c r="FY385" s="43"/>
      <c r="FZ385" s="43"/>
      <c r="GA385" s="43"/>
      <c r="GB385" s="43"/>
      <c r="GC385" s="43"/>
      <c r="GD385" s="43"/>
      <c r="GE385" s="43"/>
      <c r="GF385" s="43"/>
      <c r="GG385" s="43"/>
      <c r="GH385" s="43"/>
      <c r="GI385" s="43"/>
      <c r="GJ385" s="43"/>
      <c r="GK385" s="43"/>
      <c r="GL385" s="43"/>
      <c r="GM385" s="43"/>
      <c r="GN385" s="43"/>
      <c r="GO385" s="43"/>
      <c r="GP385" s="43"/>
      <c r="GQ385" s="43"/>
      <c r="GR385" s="43"/>
      <c r="GS385" s="43"/>
      <c r="GT385" s="43"/>
      <c r="GU385" s="43"/>
      <c r="GV385" s="43"/>
      <c r="GW385" s="43"/>
      <c r="GX385" s="43"/>
      <c r="GY385" s="43"/>
      <c r="GZ385" s="43"/>
      <c r="HA385" s="43"/>
      <c r="HB385" s="43"/>
      <c r="HC385" s="43"/>
      <c r="HD385" s="43"/>
      <c r="HE385" s="43"/>
      <c r="HF385" s="43"/>
      <c r="HG385" s="43"/>
      <c r="HH385" s="43"/>
      <c r="HI385" s="43"/>
      <c r="HJ385" s="43"/>
      <c r="HK385" s="43"/>
      <c r="HL385" s="43"/>
      <c r="HM385" s="43"/>
      <c r="HN385" s="43"/>
      <c r="HO385" s="43"/>
      <c r="HP385" s="43"/>
      <c r="HQ385" s="43"/>
      <c r="HR385" s="43"/>
      <c r="HS385" s="43"/>
      <c r="HT385" s="43"/>
      <c r="HU385" s="43"/>
      <c r="HV385" s="43"/>
      <c r="HW385" s="43"/>
      <c r="HX385" s="43"/>
      <c r="HY385" s="43"/>
      <c r="HZ385" s="43"/>
      <c r="IA385" s="43"/>
      <c r="IB385" s="43"/>
      <c r="IC385" s="43"/>
      <c r="ID385" s="43"/>
      <c r="IE385" s="43"/>
      <c r="IF385" s="43"/>
      <c r="IG385" s="43"/>
      <c r="IH385" s="43"/>
      <c r="II385" s="43"/>
      <c r="IJ385" s="43"/>
    </row>
    <row r="386" spans="1:244" x14ac:dyDescent="0.2">
      <c r="B386" s="39" t="s">
        <v>301</v>
      </c>
      <c r="C386" s="1"/>
      <c r="D386" s="1"/>
      <c r="E386" s="1"/>
      <c r="F386" s="1"/>
      <c r="G386" s="1"/>
      <c r="J386" s="17"/>
      <c r="K386" s="17"/>
      <c r="L386" s="1"/>
    </row>
    <row r="387" spans="1:244" s="81" customFormat="1" ht="25.5" x14ac:dyDescent="0.2">
      <c r="A387" s="54"/>
      <c r="B387" s="44" t="s">
        <v>310</v>
      </c>
      <c r="C387" s="41" t="s">
        <v>70</v>
      </c>
      <c r="D387" s="46">
        <f>D308</f>
        <v>1</v>
      </c>
      <c r="E387" s="45"/>
      <c r="F387" s="41">
        <f t="shared" ref="F387:F390" si="116">D387*E387</f>
        <v>0</v>
      </c>
      <c r="G387" s="41" t="s">
        <v>70</v>
      </c>
      <c r="H387" s="41"/>
      <c r="I387" s="41"/>
      <c r="J387" s="41">
        <f t="shared" ref="J387:K390" si="117">$D387*H387</f>
        <v>0</v>
      </c>
      <c r="K387" s="41">
        <f t="shared" si="117"/>
        <v>0</v>
      </c>
      <c r="L387" s="41">
        <f t="shared" ref="L387:L390" si="118">J387+K387</f>
        <v>0</v>
      </c>
    </row>
    <row r="388" spans="1:244" s="81" customFormat="1" ht="25.5" x14ac:dyDescent="0.2">
      <c r="A388" s="54"/>
      <c r="B388" s="44" t="s">
        <v>357</v>
      </c>
      <c r="C388" s="41" t="s">
        <v>70</v>
      </c>
      <c r="D388" s="46">
        <f>D309</f>
        <v>3</v>
      </c>
      <c r="E388" s="45"/>
      <c r="F388" s="41">
        <f t="shared" si="116"/>
        <v>0</v>
      </c>
      <c r="G388" s="41" t="s">
        <v>70</v>
      </c>
      <c r="H388" s="41"/>
      <c r="I388" s="41"/>
      <c r="J388" s="41">
        <f t="shared" si="117"/>
        <v>0</v>
      </c>
      <c r="K388" s="41">
        <f t="shared" si="117"/>
        <v>0</v>
      </c>
      <c r="L388" s="41">
        <f t="shared" si="118"/>
        <v>0</v>
      </c>
    </row>
    <row r="389" spans="1:244" s="81" customFormat="1" ht="25.5" x14ac:dyDescent="0.2">
      <c r="A389" s="54"/>
      <c r="B389" s="44" t="s">
        <v>311</v>
      </c>
      <c r="C389" s="41" t="s">
        <v>70</v>
      </c>
      <c r="D389" s="46">
        <f>D310</f>
        <v>14</v>
      </c>
      <c r="E389" s="45"/>
      <c r="F389" s="41">
        <f t="shared" si="116"/>
        <v>0</v>
      </c>
      <c r="G389" s="41" t="s">
        <v>70</v>
      </c>
      <c r="H389" s="41"/>
      <c r="I389" s="41"/>
      <c r="J389" s="41">
        <f t="shared" si="117"/>
        <v>0</v>
      </c>
      <c r="K389" s="41">
        <f t="shared" si="117"/>
        <v>0</v>
      </c>
      <c r="L389" s="41">
        <f t="shared" si="118"/>
        <v>0</v>
      </c>
    </row>
    <row r="390" spans="1:244" s="81" customFormat="1" ht="25.5" x14ac:dyDescent="0.2">
      <c r="A390" s="54"/>
      <c r="B390" s="44" t="s">
        <v>312</v>
      </c>
      <c r="C390" s="41" t="s">
        <v>70</v>
      </c>
      <c r="D390" s="46">
        <f>D265</f>
        <v>29</v>
      </c>
      <c r="E390" s="45"/>
      <c r="F390" s="41">
        <f t="shared" si="116"/>
        <v>0</v>
      </c>
      <c r="G390" s="41" t="s">
        <v>70</v>
      </c>
      <c r="H390" s="41"/>
      <c r="I390" s="41"/>
      <c r="J390" s="41">
        <f t="shared" si="117"/>
        <v>0</v>
      </c>
      <c r="K390" s="41">
        <f t="shared" si="117"/>
        <v>0</v>
      </c>
      <c r="L390" s="41">
        <f t="shared" si="118"/>
        <v>0</v>
      </c>
    </row>
    <row r="391" spans="1:244" s="81" customFormat="1" x14ac:dyDescent="0.2">
      <c r="A391" s="54"/>
      <c r="B391" s="40"/>
      <c r="C391" s="41"/>
      <c r="D391" s="46"/>
      <c r="E391" s="45"/>
      <c r="F391" s="41"/>
      <c r="G391" s="41"/>
      <c r="H391" s="41"/>
      <c r="I391" s="41"/>
      <c r="J391" s="41"/>
      <c r="K391" s="41"/>
      <c r="L391" s="41"/>
    </row>
    <row r="392" spans="1:244" s="43" customFormat="1" x14ac:dyDescent="0.2">
      <c r="A392" s="70"/>
      <c r="B392" s="39" t="s">
        <v>300</v>
      </c>
      <c r="C392" s="47"/>
      <c r="D392" s="47"/>
      <c r="E392" s="47"/>
      <c r="F392" s="47"/>
      <c r="G392" s="47"/>
      <c r="H392" s="42"/>
      <c r="I392" s="42"/>
      <c r="J392" s="42"/>
      <c r="K392" s="42"/>
      <c r="L392" s="42"/>
    </row>
    <row r="393" spans="1:244" s="81" customFormat="1" ht="25.5" x14ac:dyDescent="0.2">
      <c r="A393" s="54"/>
      <c r="B393" s="44" t="s">
        <v>313</v>
      </c>
      <c r="C393" s="41" t="s">
        <v>70</v>
      </c>
      <c r="D393" s="46">
        <f t="shared" ref="D393:D401" si="119">D218</f>
        <v>5</v>
      </c>
      <c r="E393" s="45"/>
      <c r="F393" s="41">
        <f t="shared" ref="F393:F401" si="120">D393*E393</f>
        <v>0</v>
      </c>
      <c r="G393" s="41" t="s">
        <v>70</v>
      </c>
      <c r="H393" s="41"/>
      <c r="I393" s="41"/>
      <c r="J393" s="41">
        <f t="shared" ref="J393:J401" si="121">$D393*H393</f>
        <v>0</v>
      </c>
      <c r="K393" s="41">
        <f t="shared" ref="K393:K401" si="122">$D393*I393</f>
        <v>0</v>
      </c>
      <c r="L393" s="41">
        <f t="shared" ref="L393:L401" si="123">J393+K393</f>
        <v>0</v>
      </c>
    </row>
    <row r="394" spans="1:244" s="81" customFormat="1" ht="25.5" x14ac:dyDescent="0.2">
      <c r="A394" s="54"/>
      <c r="B394" s="44" t="s">
        <v>314</v>
      </c>
      <c r="C394" s="41" t="s">
        <v>70</v>
      </c>
      <c r="D394" s="46">
        <f t="shared" si="119"/>
        <v>16</v>
      </c>
      <c r="E394" s="45"/>
      <c r="F394" s="41">
        <f t="shared" si="120"/>
        <v>0</v>
      </c>
      <c r="G394" s="41" t="s">
        <v>70</v>
      </c>
      <c r="H394" s="41"/>
      <c r="I394" s="41"/>
      <c r="J394" s="41">
        <f t="shared" si="121"/>
        <v>0</v>
      </c>
      <c r="K394" s="41">
        <f t="shared" si="122"/>
        <v>0</v>
      </c>
      <c r="L394" s="41">
        <f t="shared" si="123"/>
        <v>0</v>
      </c>
    </row>
    <row r="395" spans="1:244" s="81" customFormat="1" ht="25.5" x14ac:dyDescent="0.2">
      <c r="A395" s="54"/>
      <c r="B395" s="44" t="s">
        <v>315</v>
      </c>
      <c r="C395" s="41" t="s">
        <v>70</v>
      </c>
      <c r="D395" s="46">
        <f t="shared" si="119"/>
        <v>7</v>
      </c>
      <c r="E395" s="45"/>
      <c r="F395" s="41">
        <f t="shared" si="120"/>
        <v>0</v>
      </c>
      <c r="G395" s="41" t="s">
        <v>70</v>
      </c>
      <c r="H395" s="41"/>
      <c r="I395" s="41"/>
      <c r="J395" s="41">
        <f t="shared" si="121"/>
        <v>0</v>
      </c>
      <c r="K395" s="41">
        <f t="shared" si="122"/>
        <v>0</v>
      </c>
      <c r="L395" s="41">
        <f t="shared" si="123"/>
        <v>0</v>
      </c>
    </row>
    <row r="396" spans="1:244" s="81" customFormat="1" ht="25.5" x14ac:dyDescent="0.2">
      <c r="A396" s="54"/>
      <c r="B396" s="44" t="s">
        <v>316</v>
      </c>
      <c r="C396" s="41" t="s">
        <v>70</v>
      </c>
      <c r="D396" s="46">
        <f t="shared" si="119"/>
        <v>13</v>
      </c>
      <c r="E396" s="45"/>
      <c r="F396" s="41">
        <f t="shared" si="120"/>
        <v>0</v>
      </c>
      <c r="G396" s="41" t="s">
        <v>70</v>
      </c>
      <c r="H396" s="41"/>
      <c r="I396" s="41"/>
      <c r="J396" s="41">
        <f t="shared" si="121"/>
        <v>0</v>
      </c>
      <c r="K396" s="41">
        <f t="shared" si="122"/>
        <v>0</v>
      </c>
      <c r="L396" s="41">
        <f t="shared" si="123"/>
        <v>0</v>
      </c>
    </row>
    <row r="397" spans="1:244" s="81" customFormat="1" ht="25.5" x14ac:dyDescent="0.2">
      <c r="A397" s="54"/>
      <c r="B397" s="44" t="s">
        <v>317</v>
      </c>
      <c r="C397" s="41" t="s">
        <v>70</v>
      </c>
      <c r="D397" s="46">
        <f t="shared" si="119"/>
        <v>14</v>
      </c>
      <c r="E397" s="45"/>
      <c r="F397" s="41">
        <f t="shared" si="120"/>
        <v>0</v>
      </c>
      <c r="G397" s="41" t="s">
        <v>70</v>
      </c>
      <c r="H397" s="41"/>
      <c r="I397" s="41"/>
      <c r="J397" s="41">
        <f t="shared" si="121"/>
        <v>0</v>
      </c>
      <c r="K397" s="41">
        <f t="shared" si="122"/>
        <v>0</v>
      </c>
      <c r="L397" s="41">
        <f t="shared" si="123"/>
        <v>0</v>
      </c>
    </row>
    <row r="398" spans="1:244" s="81" customFormat="1" ht="25.5" x14ac:dyDescent="0.2">
      <c r="A398" s="54"/>
      <c r="B398" s="44" t="s">
        <v>318</v>
      </c>
      <c r="C398" s="41" t="s">
        <v>70</v>
      </c>
      <c r="D398" s="46">
        <f t="shared" si="119"/>
        <v>8</v>
      </c>
      <c r="E398" s="45"/>
      <c r="F398" s="41">
        <f t="shared" si="120"/>
        <v>0</v>
      </c>
      <c r="G398" s="41" t="s">
        <v>70</v>
      </c>
      <c r="H398" s="41"/>
      <c r="I398" s="41"/>
      <c r="J398" s="41">
        <f t="shared" si="121"/>
        <v>0</v>
      </c>
      <c r="K398" s="41">
        <f t="shared" si="122"/>
        <v>0</v>
      </c>
      <c r="L398" s="41">
        <f t="shared" si="123"/>
        <v>0</v>
      </c>
    </row>
    <row r="399" spans="1:244" s="81" customFormat="1" ht="25.5" x14ac:dyDescent="0.2">
      <c r="A399" s="54"/>
      <c r="B399" s="44" t="s">
        <v>319</v>
      </c>
      <c r="C399" s="41" t="s">
        <v>70</v>
      </c>
      <c r="D399" s="46">
        <f t="shared" si="119"/>
        <v>3</v>
      </c>
      <c r="E399" s="45"/>
      <c r="F399" s="41">
        <f t="shared" si="120"/>
        <v>0</v>
      </c>
      <c r="G399" s="41" t="s">
        <v>70</v>
      </c>
      <c r="H399" s="41"/>
      <c r="I399" s="41"/>
      <c r="J399" s="41">
        <f t="shared" si="121"/>
        <v>0</v>
      </c>
      <c r="K399" s="41">
        <f t="shared" si="122"/>
        <v>0</v>
      </c>
      <c r="L399" s="41">
        <f t="shared" si="123"/>
        <v>0</v>
      </c>
    </row>
    <row r="400" spans="1:244" s="81" customFormat="1" ht="25.5" x14ac:dyDescent="0.2">
      <c r="A400" s="54"/>
      <c r="B400" s="44" t="s">
        <v>320</v>
      </c>
      <c r="C400" s="41" t="s">
        <v>70</v>
      </c>
      <c r="D400" s="46">
        <f t="shared" si="119"/>
        <v>11</v>
      </c>
      <c r="E400" s="45"/>
      <c r="F400" s="41">
        <f t="shared" si="120"/>
        <v>0</v>
      </c>
      <c r="G400" s="41" t="s">
        <v>70</v>
      </c>
      <c r="H400" s="41"/>
      <c r="I400" s="41"/>
      <c r="J400" s="41">
        <f t="shared" si="121"/>
        <v>0</v>
      </c>
      <c r="K400" s="41">
        <f t="shared" si="122"/>
        <v>0</v>
      </c>
      <c r="L400" s="41">
        <f t="shared" si="123"/>
        <v>0</v>
      </c>
    </row>
    <row r="401" spans="1:244" s="81" customFormat="1" ht="25.5" x14ac:dyDescent="0.2">
      <c r="A401" s="54"/>
      <c r="B401" s="44" t="s">
        <v>358</v>
      </c>
      <c r="C401" s="41" t="s">
        <v>70</v>
      </c>
      <c r="D401" s="46">
        <f t="shared" si="119"/>
        <v>3</v>
      </c>
      <c r="E401" s="45"/>
      <c r="F401" s="41">
        <f t="shared" si="120"/>
        <v>0</v>
      </c>
      <c r="G401" s="41" t="s">
        <v>70</v>
      </c>
      <c r="H401" s="41"/>
      <c r="I401" s="41"/>
      <c r="J401" s="41">
        <f t="shared" si="121"/>
        <v>0</v>
      </c>
      <c r="K401" s="41">
        <f t="shared" si="122"/>
        <v>0</v>
      </c>
      <c r="L401" s="41">
        <f t="shared" si="123"/>
        <v>0</v>
      </c>
    </row>
    <row r="402" spans="1:244" s="81" customFormat="1" x14ac:dyDescent="0.2">
      <c r="A402" s="54"/>
      <c r="B402" s="44"/>
      <c r="C402" s="41"/>
      <c r="D402" s="46"/>
      <c r="E402" s="45"/>
      <c r="F402" s="41"/>
      <c r="G402" s="41"/>
      <c r="H402" s="41"/>
      <c r="I402" s="41"/>
      <c r="J402" s="41"/>
      <c r="K402" s="41"/>
      <c r="L402" s="41"/>
    </row>
    <row r="403" spans="1:244" s="81" customFormat="1" x14ac:dyDescent="0.2">
      <c r="A403" s="54"/>
      <c r="B403" s="44" t="s">
        <v>302</v>
      </c>
      <c r="C403" s="41" t="s">
        <v>55</v>
      </c>
      <c r="D403" s="46">
        <f>3+2+1+1+2</f>
        <v>9</v>
      </c>
      <c r="E403" s="45"/>
      <c r="F403" s="41">
        <f t="shared" ref="F403:F409" si="124">D403*E403</f>
        <v>0</v>
      </c>
      <c r="G403" s="41" t="s">
        <v>55</v>
      </c>
      <c r="H403" s="41"/>
      <c r="I403" s="41"/>
      <c r="J403" s="41">
        <f t="shared" ref="J403:K409" si="125">$D403*H403</f>
        <v>0</v>
      </c>
      <c r="K403" s="41">
        <f t="shared" si="125"/>
        <v>0</v>
      </c>
      <c r="L403" s="41">
        <f t="shared" ref="L403:L409" si="126">J403+K403</f>
        <v>0</v>
      </c>
    </row>
    <row r="404" spans="1:244" s="81" customFormat="1" x14ac:dyDescent="0.2">
      <c r="A404" s="54"/>
      <c r="B404" s="44" t="s">
        <v>303</v>
      </c>
      <c r="C404" s="41" t="s">
        <v>55</v>
      </c>
      <c r="D404" s="46">
        <f>3+2+1</f>
        <v>6</v>
      </c>
      <c r="E404" s="45"/>
      <c r="F404" s="41">
        <f t="shared" si="124"/>
        <v>0</v>
      </c>
      <c r="G404" s="41" t="s">
        <v>55</v>
      </c>
      <c r="H404" s="41"/>
      <c r="I404" s="41"/>
      <c r="J404" s="41">
        <f t="shared" si="125"/>
        <v>0</v>
      </c>
      <c r="K404" s="41">
        <f t="shared" si="125"/>
        <v>0</v>
      </c>
      <c r="L404" s="41">
        <f t="shared" si="126"/>
        <v>0</v>
      </c>
    </row>
    <row r="405" spans="1:244" s="81" customFormat="1" x14ac:dyDescent="0.2">
      <c r="A405" s="54"/>
      <c r="B405" s="44" t="s">
        <v>304</v>
      </c>
      <c r="C405" s="41" t="s">
        <v>55</v>
      </c>
      <c r="D405" s="46">
        <f>3+3</f>
        <v>6</v>
      </c>
      <c r="E405" s="45"/>
      <c r="F405" s="41">
        <f t="shared" si="124"/>
        <v>0</v>
      </c>
      <c r="G405" s="41" t="s">
        <v>55</v>
      </c>
      <c r="H405" s="41"/>
      <c r="I405" s="41"/>
      <c r="J405" s="41">
        <f t="shared" si="125"/>
        <v>0</v>
      </c>
      <c r="K405" s="41">
        <f t="shared" si="125"/>
        <v>0</v>
      </c>
      <c r="L405" s="41">
        <f t="shared" si="126"/>
        <v>0</v>
      </c>
    </row>
    <row r="406" spans="1:244" s="81" customFormat="1" x14ac:dyDescent="0.2">
      <c r="A406" s="54"/>
      <c r="B406" s="44" t="s">
        <v>305</v>
      </c>
      <c r="C406" s="41" t="s">
        <v>55</v>
      </c>
      <c r="D406" s="46">
        <f>3+2+1</f>
        <v>6</v>
      </c>
      <c r="E406" s="45"/>
      <c r="F406" s="41">
        <f t="shared" si="124"/>
        <v>0</v>
      </c>
      <c r="G406" s="41" t="s">
        <v>55</v>
      </c>
      <c r="H406" s="41"/>
      <c r="I406" s="41"/>
      <c r="J406" s="41">
        <f t="shared" si="125"/>
        <v>0</v>
      </c>
      <c r="K406" s="41">
        <f t="shared" si="125"/>
        <v>0</v>
      </c>
      <c r="L406" s="41">
        <f t="shared" si="126"/>
        <v>0</v>
      </c>
    </row>
    <row r="407" spans="1:244" s="81" customFormat="1" x14ac:dyDescent="0.2">
      <c r="A407" s="54"/>
      <c r="B407" s="44" t="s">
        <v>306</v>
      </c>
      <c r="C407" s="41" t="s">
        <v>55</v>
      </c>
      <c r="D407" s="46">
        <f>2+1</f>
        <v>3</v>
      </c>
      <c r="E407" s="45"/>
      <c r="F407" s="41">
        <f t="shared" si="124"/>
        <v>0</v>
      </c>
      <c r="G407" s="41" t="s">
        <v>55</v>
      </c>
      <c r="H407" s="41"/>
      <c r="I407" s="41"/>
      <c r="J407" s="41">
        <f t="shared" si="125"/>
        <v>0</v>
      </c>
      <c r="K407" s="41">
        <f t="shared" si="125"/>
        <v>0</v>
      </c>
      <c r="L407" s="41">
        <f t="shared" si="126"/>
        <v>0</v>
      </c>
    </row>
    <row r="408" spans="1:244" s="81" customFormat="1" x14ac:dyDescent="0.2">
      <c r="A408" s="54"/>
      <c r="B408" s="44" t="s">
        <v>307</v>
      </c>
      <c r="C408" s="41" t="s">
        <v>55</v>
      </c>
      <c r="D408" s="46">
        <f>2+2</f>
        <v>4</v>
      </c>
      <c r="E408" s="45"/>
      <c r="F408" s="41">
        <f t="shared" si="124"/>
        <v>0</v>
      </c>
      <c r="G408" s="41" t="s">
        <v>55</v>
      </c>
      <c r="H408" s="41"/>
      <c r="I408" s="41"/>
      <c r="J408" s="41">
        <f t="shared" si="125"/>
        <v>0</v>
      </c>
      <c r="K408" s="41">
        <f t="shared" si="125"/>
        <v>0</v>
      </c>
      <c r="L408" s="41">
        <f t="shared" si="126"/>
        <v>0</v>
      </c>
    </row>
    <row r="409" spans="1:244" s="81" customFormat="1" x14ac:dyDescent="0.2">
      <c r="A409" s="54"/>
      <c r="B409" s="44" t="s">
        <v>308</v>
      </c>
      <c r="C409" s="41" t="s">
        <v>55</v>
      </c>
      <c r="D409" s="46">
        <f>5</f>
        <v>5</v>
      </c>
      <c r="E409" s="45"/>
      <c r="F409" s="41">
        <f t="shared" si="124"/>
        <v>0</v>
      </c>
      <c r="G409" s="41" t="s">
        <v>55</v>
      </c>
      <c r="H409" s="41"/>
      <c r="I409" s="41"/>
      <c r="J409" s="41">
        <f t="shared" si="125"/>
        <v>0</v>
      </c>
      <c r="K409" s="41">
        <f t="shared" si="125"/>
        <v>0</v>
      </c>
      <c r="L409" s="41">
        <f t="shared" si="126"/>
        <v>0</v>
      </c>
    </row>
    <row r="410" spans="1:244" x14ac:dyDescent="0.2">
      <c r="A410" s="18"/>
      <c r="B410" s="44"/>
      <c r="C410" s="42"/>
      <c r="D410" s="47"/>
      <c r="E410" s="47"/>
      <c r="F410" s="42"/>
      <c r="G410" s="42"/>
      <c r="H410" s="41"/>
      <c r="I410" s="41"/>
      <c r="J410" s="42"/>
      <c r="K410" s="42"/>
      <c r="L410" s="41"/>
    </row>
    <row r="411" spans="1:244" x14ac:dyDescent="0.2">
      <c r="A411" s="48"/>
      <c r="B411" s="49" t="s">
        <v>59</v>
      </c>
      <c r="C411" s="41"/>
      <c r="D411" s="1"/>
      <c r="E411" s="50"/>
      <c r="F411" s="50">
        <f>SUM(F376:F410)</f>
        <v>0</v>
      </c>
      <c r="G411" s="50"/>
      <c r="H411" s="50"/>
      <c r="I411" s="50"/>
      <c r="J411" s="50">
        <f>CEILING(SUM(J376:J410)*1.1,100)</f>
        <v>0</v>
      </c>
      <c r="K411" s="50">
        <f>CEILING(SUM(K376:K410)*1.1,100)</f>
        <v>0</v>
      </c>
      <c r="L411" s="50">
        <f>J411+K411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</row>
    <row r="412" spans="1:244" s="84" customFormat="1" x14ac:dyDescent="0.2">
      <c r="A412" s="18"/>
      <c r="B412" s="5"/>
      <c r="C412" s="12"/>
      <c r="D412" s="12"/>
      <c r="E412" s="12"/>
      <c r="F412" s="12"/>
      <c r="G412" s="12"/>
      <c r="H412" s="11"/>
      <c r="I412" s="11"/>
      <c r="J412" s="11"/>
      <c r="K412" s="11"/>
      <c r="L412" s="11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</row>
    <row r="413" spans="1:244" s="43" customFormat="1" x14ac:dyDescent="0.2">
      <c r="A413" s="95" t="s">
        <v>113</v>
      </c>
      <c r="B413" s="5" t="s">
        <v>74</v>
      </c>
      <c r="C413" s="12"/>
      <c r="D413" s="12"/>
      <c r="E413" s="12"/>
      <c r="F413" s="12"/>
      <c r="G413" s="12"/>
      <c r="H413" s="11"/>
      <c r="I413" s="11"/>
      <c r="J413" s="11"/>
      <c r="K413" s="11"/>
      <c r="L413" s="11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</row>
    <row r="414" spans="1:244" s="43" customFormat="1" ht="25.5" x14ac:dyDescent="0.2">
      <c r="A414" s="54"/>
      <c r="B414" s="44" t="s">
        <v>123</v>
      </c>
      <c r="C414" s="41" t="s">
        <v>55</v>
      </c>
      <c r="D414" s="41">
        <f>3</f>
        <v>3</v>
      </c>
      <c r="E414" s="55">
        <f>800*0.2*0.5*0.05</f>
        <v>4</v>
      </c>
      <c r="F414" s="41">
        <f>D414*E414</f>
        <v>12</v>
      </c>
      <c r="G414" s="41" t="s">
        <v>55</v>
      </c>
      <c r="H414" s="41"/>
      <c r="I414" s="41"/>
      <c r="J414" s="41">
        <f>$D414*H414</f>
        <v>0</v>
      </c>
      <c r="K414" s="41">
        <f t="shared" ref="K414" si="127">$D414*I414</f>
        <v>0</v>
      </c>
      <c r="L414" s="41">
        <f t="shared" ref="L414:L418" si="128">J414+K414</f>
        <v>0</v>
      </c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  <c r="DK414" s="81"/>
      <c r="DL414" s="81"/>
      <c r="DM414" s="81"/>
      <c r="DN414" s="81"/>
      <c r="DO414" s="81"/>
      <c r="DP414" s="81"/>
      <c r="DQ414" s="81"/>
      <c r="DR414" s="81"/>
      <c r="DS414" s="81"/>
      <c r="DT414" s="81"/>
      <c r="DU414" s="81"/>
      <c r="DV414" s="81"/>
      <c r="DW414" s="81"/>
      <c r="DX414" s="81"/>
      <c r="DY414" s="81"/>
      <c r="DZ414" s="81"/>
      <c r="EA414" s="81"/>
      <c r="EB414" s="81"/>
      <c r="EC414" s="81"/>
      <c r="ED414" s="81"/>
      <c r="EE414" s="81"/>
      <c r="EF414" s="81"/>
      <c r="EG414" s="81"/>
      <c r="EH414" s="81"/>
      <c r="EI414" s="81"/>
      <c r="EJ414" s="81"/>
      <c r="EK414" s="81"/>
      <c r="EL414" s="81"/>
      <c r="EM414" s="81"/>
      <c r="EN414" s="81"/>
      <c r="EO414" s="81"/>
      <c r="EP414" s="81"/>
      <c r="EQ414" s="81"/>
      <c r="ER414" s="81"/>
      <c r="ES414" s="81"/>
      <c r="ET414" s="81"/>
      <c r="EU414" s="81"/>
      <c r="EV414" s="81"/>
      <c r="EW414" s="81"/>
      <c r="EX414" s="81"/>
      <c r="EY414" s="81"/>
      <c r="EZ414" s="81"/>
      <c r="FA414" s="81"/>
      <c r="FB414" s="81"/>
      <c r="FC414" s="81"/>
      <c r="FD414" s="81"/>
      <c r="FE414" s="81"/>
      <c r="FF414" s="81"/>
      <c r="FG414" s="81"/>
      <c r="FH414" s="81"/>
      <c r="FI414" s="81"/>
      <c r="FJ414" s="81"/>
      <c r="FK414" s="81"/>
      <c r="FL414" s="81"/>
      <c r="FM414" s="81"/>
      <c r="FN414" s="81"/>
      <c r="FO414" s="81"/>
      <c r="FP414" s="81"/>
      <c r="FQ414" s="81"/>
      <c r="FR414" s="81"/>
      <c r="FS414" s="81"/>
      <c r="FT414" s="81"/>
      <c r="FU414" s="81"/>
      <c r="FV414" s="81"/>
      <c r="FW414" s="81"/>
      <c r="FX414" s="81"/>
      <c r="FY414" s="81"/>
      <c r="FZ414" s="81"/>
      <c r="GA414" s="81"/>
      <c r="GB414" s="81"/>
      <c r="GC414" s="81"/>
      <c r="GD414" s="81"/>
      <c r="GE414" s="81"/>
      <c r="GF414" s="81"/>
      <c r="GG414" s="81"/>
      <c r="GH414" s="81"/>
      <c r="GI414" s="81"/>
      <c r="GJ414" s="81"/>
      <c r="GK414" s="81"/>
      <c r="GL414" s="81"/>
      <c r="GM414" s="81"/>
      <c r="GN414" s="81"/>
      <c r="GO414" s="81"/>
      <c r="GP414" s="81"/>
      <c r="GQ414" s="81"/>
      <c r="GR414" s="81"/>
      <c r="GS414" s="81"/>
      <c r="GT414" s="81"/>
      <c r="GU414" s="81"/>
      <c r="GV414" s="81"/>
      <c r="GW414" s="81"/>
      <c r="GX414" s="81"/>
      <c r="GY414" s="81"/>
      <c r="GZ414" s="81"/>
      <c r="HA414" s="81"/>
      <c r="HB414" s="81"/>
      <c r="HC414" s="81"/>
      <c r="HD414" s="81"/>
      <c r="HE414" s="81"/>
      <c r="HF414" s="81"/>
      <c r="HG414" s="81"/>
      <c r="HH414" s="81"/>
      <c r="HI414" s="81"/>
      <c r="HJ414" s="81"/>
      <c r="HK414" s="81"/>
      <c r="HL414" s="81"/>
      <c r="HM414" s="81"/>
      <c r="HN414" s="81"/>
      <c r="HO414" s="81"/>
      <c r="HP414" s="81"/>
      <c r="HQ414" s="81"/>
      <c r="HR414" s="81"/>
      <c r="HS414" s="81"/>
      <c r="HT414" s="81"/>
      <c r="HU414" s="81"/>
      <c r="HV414" s="81"/>
      <c r="HW414" s="81"/>
      <c r="HX414" s="81"/>
      <c r="HY414" s="81"/>
      <c r="HZ414" s="81"/>
      <c r="IA414" s="81"/>
      <c r="IB414" s="81"/>
      <c r="IC414" s="81"/>
      <c r="ID414" s="81"/>
      <c r="IE414" s="81"/>
      <c r="IF414" s="81"/>
      <c r="IG414" s="81"/>
      <c r="IH414" s="81"/>
      <c r="II414" s="81"/>
      <c r="IJ414" s="81"/>
    </row>
    <row r="415" spans="1:244" s="43" customFormat="1" x14ac:dyDescent="0.2">
      <c r="A415" s="59"/>
      <c r="B415" s="9" t="s">
        <v>75</v>
      </c>
      <c r="C415" s="12" t="s">
        <v>15</v>
      </c>
      <c r="D415" s="12">
        <v>1</v>
      </c>
      <c r="E415" s="60">
        <f>CEILING((SUM(D174:D185)+SUM(D218:D226)+SUM(D255:D257)+D264+D265+SUM(D279:D282)+SUM(D308:D310)+D367)/2*1.25*8.59,5)</f>
        <v>1760</v>
      </c>
      <c r="F415" s="12">
        <f>D415*E415</f>
        <v>1760</v>
      </c>
      <c r="G415" s="12" t="s">
        <v>76</v>
      </c>
      <c r="H415" s="11"/>
      <c r="I415" s="11"/>
      <c r="J415" s="11">
        <f>$F415*H415</f>
        <v>0</v>
      </c>
      <c r="K415" s="11">
        <f>$F415*I415</f>
        <v>0</v>
      </c>
      <c r="L415" s="11">
        <f t="shared" si="128"/>
        <v>0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</row>
    <row r="416" spans="1:244" ht="25.5" x14ac:dyDescent="0.2">
      <c r="A416" s="61"/>
      <c r="B416" s="62" t="s">
        <v>360</v>
      </c>
      <c r="C416" s="26" t="s">
        <v>55</v>
      </c>
      <c r="D416" s="12">
        <f>CEILING((SUM(D174:D185)+SUM(D255:D257)+SUM(D279:D282)+D367)/2,5)</f>
        <v>100</v>
      </c>
      <c r="E416" s="12"/>
      <c r="F416" s="26"/>
      <c r="G416" s="26" t="s">
        <v>55</v>
      </c>
      <c r="H416" s="26"/>
      <c r="I416" s="26"/>
      <c r="J416" s="26">
        <f t="shared" ref="J416:K418" si="129">$D416*H416</f>
        <v>0</v>
      </c>
      <c r="K416" s="41">
        <f t="shared" si="129"/>
        <v>0</v>
      </c>
      <c r="L416" s="26">
        <f t="shared" si="128"/>
        <v>0</v>
      </c>
    </row>
    <row r="417" spans="1:244" ht="25.5" x14ac:dyDescent="0.2">
      <c r="A417" s="61"/>
      <c r="B417" s="62" t="s">
        <v>77</v>
      </c>
      <c r="C417" s="26" t="s">
        <v>55</v>
      </c>
      <c r="D417" s="12">
        <f>CEILING((SUM(D218:D226)+D264+D265+SUM(D308:D310))/2,5)</f>
        <v>65</v>
      </c>
      <c r="E417" s="12"/>
      <c r="F417" s="26"/>
      <c r="G417" s="26" t="s">
        <v>55</v>
      </c>
      <c r="H417" s="26"/>
      <c r="I417" s="26"/>
      <c r="J417" s="26">
        <f t="shared" si="129"/>
        <v>0</v>
      </c>
      <c r="K417" s="41">
        <f t="shared" si="129"/>
        <v>0</v>
      </c>
      <c r="L417" s="26">
        <f t="shared" si="128"/>
        <v>0</v>
      </c>
    </row>
    <row r="418" spans="1:244" s="43" customFormat="1" x14ac:dyDescent="0.2">
      <c r="A418" s="107"/>
      <c r="B418" s="108" t="s">
        <v>430</v>
      </c>
      <c r="C418" s="45" t="s">
        <v>55</v>
      </c>
      <c r="D418" s="105">
        <f>4</f>
        <v>4</v>
      </c>
      <c r="E418" s="45"/>
      <c r="F418" s="109"/>
      <c r="G418" s="45" t="s">
        <v>55</v>
      </c>
      <c r="H418" s="42"/>
      <c r="I418" s="42"/>
      <c r="J418" s="41">
        <f t="shared" si="129"/>
        <v>0</v>
      </c>
      <c r="K418" s="41">
        <f t="shared" si="129"/>
        <v>0</v>
      </c>
      <c r="L418" s="42">
        <f t="shared" si="128"/>
        <v>0</v>
      </c>
    </row>
    <row r="419" spans="1:244" x14ac:dyDescent="0.2">
      <c r="A419" s="61"/>
      <c r="B419" s="62"/>
      <c r="C419" s="26"/>
      <c r="D419" s="12"/>
      <c r="E419" s="12"/>
      <c r="F419" s="26"/>
      <c r="G419" s="26"/>
      <c r="H419" s="26"/>
      <c r="I419" s="26"/>
      <c r="J419" s="26"/>
      <c r="K419" s="26"/>
      <c r="L419" s="26"/>
    </row>
    <row r="420" spans="1:244" s="86" customFormat="1" x14ac:dyDescent="0.2">
      <c r="A420" s="61"/>
      <c r="B420" s="103" t="s">
        <v>394</v>
      </c>
      <c r="C420" s="26"/>
      <c r="D420" s="26"/>
      <c r="E420" s="12"/>
      <c r="F420" s="26"/>
      <c r="G420" s="26"/>
      <c r="H420" s="26"/>
      <c r="I420" s="26"/>
      <c r="J420" s="26"/>
      <c r="K420" s="26"/>
      <c r="L420" s="26"/>
    </row>
    <row r="421" spans="1:244" s="81" customFormat="1" ht="25.5" x14ac:dyDescent="0.2">
      <c r="A421" s="54"/>
      <c r="B421" s="98" t="s">
        <v>395</v>
      </c>
      <c r="C421" s="104" t="s">
        <v>55</v>
      </c>
      <c r="D421" s="105">
        <f>2</f>
        <v>2</v>
      </c>
      <c r="E421" s="45">
        <v>21</v>
      </c>
      <c r="F421" s="41">
        <f>D421*E421</f>
        <v>42</v>
      </c>
      <c r="G421" s="104" t="s">
        <v>55</v>
      </c>
      <c r="H421" s="41"/>
      <c r="I421" s="41"/>
      <c r="J421" s="41">
        <f>$D421*H421</f>
        <v>0</v>
      </c>
      <c r="K421" s="41">
        <f>$D421*I421</f>
        <v>0</v>
      </c>
      <c r="L421" s="42">
        <f>J421+K421</f>
        <v>0</v>
      </c>
    </row>
    <row r="422" spans="1:244" s="86" customFormat="1" x14ac:dyDescent="0.2">
      <c r="A422" s="61"/>
      <c r="B422" s="103" t="s">
        <v>396</v>
      </c>
      <c r="C422" s="26"/>
      <c r="D422" s="26"/>
      <c r="E422" s="12"/>
      <c r="F422" s="26"/>
      <c r="G422" s="26"/>
      <c r="H422" s="26"/>
      <c r="I422" s="26"/>
      <c r="J422" s="26"/>
      <c r="K422" s="26"/>
      <c r="L422" s="26"/>
    </row>
    <row r="423" spans="1:244" s="81" customFormat="1" ht="25.5" x14ac:dyDescent="0.2">
      <c r="A423" s="54"/>
      <c r="B423" s="44" t="s">
        <v>397</v>
      </c>
      <c r="C423" s="41" t="s">
        <v>70</v>
      </c>
      <c r="D423" s="46">
        <f>CEILING((0.8+1.5)*2*2,1)</f>
        <v>10</v>
      </c>
      <c r="E423" s="45">
        <v>2.512</v>
      </c>
      <c r="F423" s="41">
        <f>D423*E423</f>
        <v>25.12</v>
      </c>
      <c r="G423" s="41" t="s">
        <v>76</v>
      </c>
      <c r="H423" s="41"/>
      <c r="I423" s="41"/>
      <c r="J423" s="41">
        <f>$F423*H423</f>
        <v>0</v>
      </c>
      <c r="K423" s="41">
        <f>$D423*I423</f>
        <v>0</v>
      </c>
      <c r="L423" s="41">
        <f>J423+K423</f>
        <v>0</v>
      </c>
    </row>
    <row r="424" spans="1:244" s="81" customFormat="1" ht="25.5" x14ac:dyDescent="0.2">
      <c r="A424" s="54"/>
      <c r="B424" s="44" t="s">
        <v>398</v>
      </c>
      <c r="C424" s="41" t="s">
        <v>70</v>
      </c>
      <c r="D424" s="46">
        <f>CEILING(4*0.8,1)</f>
        <v>4</v>
      </c>
      <c r="E424" s="45">
        <v>2.42</v>
      </c>
      <c r="F424" s="41">
        <f>D424*E424</f>
        <v>9.68</v>
      </c>
      <c r="G424" s="41" t="s">
        <v>76</v>
      </c>
      <c r="H424" s="41"/>
      <c r="I424" s="41"/>
      <c r="J424" s="41">
        <f>$F424*H424</f>
        <v>0</v>
      </c>
      <c r="K424" s="41">
        <f t="shared" ref="K424:K425" si="130">$D424*I424</f>
        <v>0</v>
      </c>
      <c r="L424" s="41">
        <f>J424+K424</f>
        <v>0</v>
      </c>
    </row>
    <row r="425" spans="1:244" s="81" customFormat="1" ht="25.5" x14ac:dyDescent="0.2">
      <c r="A425" s="54"/>
      <c r="B425" s="44" t="s">
        <v>399</v>
      </c>
      <c r="C425" s="41" t="s">
        <v>70</v>
      </c>
      <c r="D425" s="46">
        <f>8*1.5</f>
        <v>12</v>
      </c>
      <c r="E425" s="45">
        <v>3.0139999999999998</v>
      </c>
      <c r="F425" s="41">
        <f>D425*E425</f>
        <v>36.167999999999999</v>
      </c>
      <c r="G425" s="41" t="s">
        <v>76</v>
      </c>
      <c r="H425" s="41"/>
      <c r="I425" s="41"/>
      <c r="J425" s="41">
        <f>$F425*H425</f>
        <v>0</v>
      </c>
      <c r="K425" s="41">
        <f t="shared" si="130"/>
        <v>0</v>
      </c>
      <c r="L425" s="41">
        <f>J425+K425</f>
        <v>0</v>
      </c>
    </row>
    <row r="426" spans="1:244" s="81" customFormat="1" ht="25.5" x14ac:dyDescent="0.2">
      <c r="A426" s="54"/>
      <c r="B426" s="44" t="s">
        <v>429</v>
      </c>
      <c r="C426" s="42" t="s">
        <v>55</v>
      </c>
      <c r="D426" s="47">
        <v>1</v>
      </c>
      <c r="E426" s="42">
        <v>245</v>
      </c>
      <c r="F426" s="42">
        <f>D426*E426</f>
        <v>245</v>
      </c>
      <c r="G426" s="41" t="s">
        <v>55</v>
      </c>
      <c r="H426" s="41">
        <v>0</v>
      </c>
      <c r="I426" s="41">
        <v>0</v>
      </c>
      <c r="J426" s="42">
        <f>$D426*H426</f>
        <v>0</v>
      </c>
      <c r="K426" s="42">
        <f>$D426*I426</f>
        <v>0</v>
      </c>
      <c r="L426" s="41">
        <f>J426+K426</f>
        <v>0</v>
      </c>
    </row>
    <row r="427" spans="1:244" x14ac:dyDescent="0.2">
      <c r="A427" s="18"/>
      <c r="B427" s="44"/>
      <c r="C427" s="42"/>
      <c r="D427" s="47"/>
      <c r="E427" s="47"/>
      <c r="F427" s="42"/>
      <c r="G427" s="42"/>
      <c r="H427" s="41"/>
      <c r="I427" s="41"/>
      <c r="J427" s="42"/>
      <c r="K427" s="42"/>
      <c r="L427" s="41"/>
    </row>
    <row r="428" spans="1:244" x14ac:dyDescent="0.2">
      <c r="A428" s="48"/>
      <c r="B428" s="49" t="s">
        <v>59</v>
      </c>
      <c r="C428" s="41"/>
      <c r="D428" s="1"/>
      <c r="E428" s="50"/>
      <c r="F428" s="50">
        <f>SUM(F413:F427)</f>
        <v>2129.9679999999998</v>
      </c>
      <c r="G428" s="50"/>
      <c r="H428" s="50"/>
      <c r="I428" s="50"/>
      <c r="J428" s="50">
        <f>CEILING(SUM(J413:J427)*1.1,100)</f>
        <v>0</v>
      </c>
      <c r="K428" s="50">
        <f>CEILING(SUM(K413:K427)*1.1,100)</f>
        <v>0</v>
      </c>
      <c r="L428" s="50">
        <f>J428+K428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</row>
    <row r="429" spans="1:244" x14ac:dyDescent="0.2">
      <c r="B429" s="2"/>
      <c r="D429" s="1"/>
      <c r="E429" s="1"/>
      <c r="F429" s="1"/>
      <c r="G429" s="1"/>
      <c r="L429" s="1"/>
    </row>
    <row r="430" spans="1:244" ht="15" x14ac:dyDescent="0.2">
      <c r="A430" s="63"/>
      <c r="B430" s="64" t="s">
        <v>85</v>
      </c>
      <c r="C430" s="65"/>
      <c r="D430" s="4"/>
      <c r="E430" s="65"/>
      <c r="F430" s="65">
        <f>CEILING(F55+F85+F116+F147+F169+F374+F411+F428,10)</f>
        <v>15480</v>
      </c>
      <c r="G430" s="65"/>
      <c r="H430" s="65"/>
      <c r="I430" s="65"/>
      <c r="J430" s="65">
        <f>J55+J85+J116+J147+J169+J374+J411+J428</f>
        <v>0</v>
      </c>
      <c r="K430" s="65">
        <f>K55+K85+K116+K147+K169+K374+K411+K428</f>
        <v>0</v>
      </c>
      <c r="L430" s="65">
        <f>L55+L85+L116+L147+L169+L374+L411+L428</f>
        <v>0</v>
      </c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6"/>
      <c r="CG430" s="66"/>
      <c r="CH430" s="66"/>
      <c r="CI430" s="66"/>
      <c r="CJ430" s="66"/>
      <c r="CK430" s="66"/>
      <c r="CL430" s="66"/>
      <c r="CM430" s="66"/>
      <c r="CN430" s="66"/>
      <c r="CO430" s="66"/>
      <c r="CP430" s="66"/>
      <c r="CQ430" s="66"/>
      <c r="CR430" s="66"/>
      <c r="CS430" s="66"/>
      <c r="CT430" s="66"/>
      <c r="CU430" s="66"/>
      <c r="CV430" s="66"/>
      <c r="CW430" s="66"/>
      <c r="CX430" s="66"/>
      <c r="CY430" s="66"/>
      <c r="CZ430" s="66"/>
      <c r="DA430" s="66"/>
      <c r="DB430" s="66"/>
      <c r="DC430" s="66"/>
      <c r="DD430" s="66"/>
      <c r="DE430" s="66"/>
      <c r="DF430" s="66"/>
      <c r="DG430" s="66"/>
      <c r="DH430" s="66"/>
      <c r="DI430" s="66"/>
      <c r="DJ430" s="66"/>
      <c r="DK430" s="66"/>
      <c r="DL430" s="66"/>
      <c r="DM430" s="66"/>
      <c r="DN430" s="66"/>
      <c r="DO430" s="66"/>
      <c r="DP430" s="66"/>
      <c r="DQ430" s="66"/>
      <c r="DR430" s="66"/>
      <c r="DS430" s="66"/>
      <c r="DT430" s="66"/>
      <c r="DU430" s="66"/>
      <c r="DV430" s="66"/>
      <c r="DW430" s="66"/>
      <c r="DX430" s="66"/>
      <c r="DY430" s="66"/>
      <c r="DZ430" s="66"/>
      <c r="EA430" s="66"/>
      <c r="EB430" s="66"/>
      <c r="EC430" s="66"/>
      <c r="ED430" s="66"/>
      <c r="EE430" s="66"/>
      <c r="EF430" s="66"/>
      <c r="EG430" s="66"/>
      <c r="EH430" s="66"/>
      <c r="EI430" s="66"/>
      <c r="EJ430" s="66"/>
      <c r="EK430" s="66"/>
      <c r="EL430" s="66"/>
      <c r="EM430" s="66"/>
      <c r="EN430" s="66"/>
      <c r="EO430" s="66"/>
      <c r="EP430" s="66"/>
      <c r="EQ430" s="66"/>
      <c r="ER430" s="66"/>
      <c r="ES430" s="66"/>
      <c r="ET430" s="66"/>
      <c r="EU430" s="66"/>
      <c r="EV430" s="66"/>
      <c r="EW430" s="66"/>
      <c r="EX430" s="66"/>
      <c r="EY430" s="66"/>
      <c r="EZ430" s="66"/>
      <c r="FA430" s="66"/>
      <c r="FB430" s="66"/>
      <c r="FC430" s="66"/>
      <c r="FD430" s="66"/>
      <c r="FE430" s="66"/>
      <c r="FF430" s="66"/>
      <c r="FG430" s="66"/>
      <c r="FH430" s="66"/>
      <c r="FI430" s="66"/>
      <c r="FJ430" s="66"/>
      <c r="FK430" s="66"/>
      <c r="FL430" s="66"/>
      <c r="FM430" s="66"/>
      <c r="FN430" s="66"/>
      <c r="FO430" s="66"/>
      <c r="FP430" s="66"/>
      <c r="FQ430" s="66"/>
      <c r="FR430" s="66"/>
      <c r="FS430" s="66"/>
      <c r="FT430" s="66"/>
      <c r="FU430" s="66"/>
      <c r="FV430" s="66"/>
      <c r="FW430" s="66"/>
      <c r="FX430" s="66"/>
      <c r="FY430" s="66"/>
      <c r="FZ430" s="66"/>
      <c r="GA430" s="66"/>
      <c r="GB430" s="66"/>
      <c r="GC430" s="66"/>
      <c r="GD430" s="66"/>
      <c r="GE430" s="66"/>
      <c r="GF430" s="66"/>
      <c r="GG430" s="66"/>
      <c r="GH430" s="66"/>
      <c r="GI430" s="66"/>
      <c r="GJ430" s="66"/>
      <c r="GK430" s="66"/>
      <c r="GL430" s="66"/>
      <c r="GM430" s="66"/>
      <c r="GN430" s="66"/>
      <c r="GO430" s="66"/>
      <c r="GP430" s="66"/>
      <c r="GQ430" s="66"/>
      <c r="GR430" s="66"/>
      <c r="GS430" s="66"/>
      <c r="GT430" s="66"/>
      <c r="GU430" s="66"/>
      <c r="GV430" s="66"/>
      <c r="GW430" s="66"/>
      <c r="GX430" s="66"/>
      <c r="GY430" s="66"/>
      <c r="GZ430" s="66"/>
      <c r="HA430" s="66"/>
      <c r="HB430" s="66"/>
      <c r="HC430" s="66"/>
      <c r="HD430" s="66"/>
      <c r="HE430" s="66"/>
      <c r="HF430" s="66"/>
      <c r="HG430" s="66"/>
      <c r="HH430" s="66"/>
      <c r="HI430" s="66"/>
      <c r="HJ430" s="66"/>
      <c r="HK430" s="66"/>
      <c r="HL430" s="66"/>
      <c r="HM430" s="66"/>
      <c r="HN430" s="66"/>
      <c r="HO430" s="66"/>
      <c r="HP430" s="66"/>
      <c r="HQ430" s="66"/>
      <c r="HR430" s="66"/>
      <c r="HS430" s="66"/>
      <c r="HT430" s="66"/>
      <c r="HU430" s="66"/>
      <c r="HV430" s="66"/>
      <c r="HW430" s="66"/>
      <c r="HX430" s="66"/>
      <c r="HY430" s="66"/>
      <c r="HZ430" s="66"/>
      <c r="IA430" s="66"/>
      <c r="IB430" s="66"/>
      <c r="IC430" s="66"/>
      <c r="ID430" s="66"/>
      <c r="IE430" s="66"/>
      <c r="IF430" s="66"/>
      <c r="IG430" s="66"/>
      <c r="IH430" s="66"/>
      <c r="II430" s="66"/>
      <c r="IJ430" s="66"/>
    </row>
    <row r="431" spans="1:244" x14ac:dyDescent="0.2">
      <c r="A431" s="18"/>
      <c r="B431" s="9"/>
      <c r="C431" s="12"/>
      <c r="D431" s="12"/>
      <c r="E431" s="12"/>
      <c r="F431" s="12"/>
      <c r="G431" s="12"/>
      <c r="H431" s="11"/>
      <c r="I431" s="11"/>
      <c r="J431" s="11"/>
      <c r="K431" s="11"/>
      <c r="L431" s="11"/>
    </row>
    <row r="432" spans="1:244" ht="15.75" x14ac:dyDescent="0.2">
      <c r="A432" s="35" t="str">
        <f>A5</f>
        <v>II</v>
      </c>
      <c r="B432" s="36" t="str">
        <f>B5</f>
        <v>Ledová plocha - technologie</v>
      </c>
      <c r="C432" s="14"/>
      <c r="D432" s="14"/>
      <c r="E432" s="14"/>
      <c r="F432" s="14"/>
      <c r="G432" s="14"/>
      <c r="H432" s="38"/>
      <c r="I432" s="38"/>
      <c r="J432" s="38"/>
      <c r="K432" s="38"/>
      <c r="L432" s="38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  <c r="HI432" s="37"/>
      <c r="HJ432" s="37"/>
      <c r="HK432" s="37"/>
      <c r="HL432" s="37"/>
      <c r="HM432" s="37"/>
      <c r="HN432" s="37"/>
      <c r="HO432" s="37"/>
      <c r="HP432" s="37"/>
      <c r="HQ432" s="37"/>
      <c r="HR432" s="37"/>
      <c r="HS432" s="37"/>
      <c r="HT432" s="37"/>
      <c r="HU432" s="37"/>
      <c r="HV432" s="37"/>
      <c r="HW432" s="37"/>
      <c r="HX432" s="37"/>
      <c r="HY432" s="37"/>
      <c r="HZ432" s="37"/>
      <c r="IA432" s="37"/>
      <c r="IB432" s="37"/>
      <c r="IC432" s="37"/>
      <c r="ID432" s="37"/>
      <c r="IE432" s="37"/>
      <c r="IF432" s="37"/>
      <c r="IG432" s="37"/>
      <c r="IH432" s="37"/>
      <c r="II432" s="37"/>
      <c r="IJ432" s="37"/>
    </row>
    <row r="433" spans="1:244" x14ac:dyDescent="0.2">
      <c r="A433" s="18"/>
      <c r="B433" s="9"/>
      <c r="C433" s="12"/>
      <c r="D433" s="12"/>
      <c r="E433" s="12"/>
      <c r="F433" s="12"/>
      <c r="G433" s="12"/>
      <c r="H433" s="11"/>
      <c r="I433" s="11"/>
      <c r="J433" s="11"/>
      <c r="K433" s="11"/>
      <c r="L433" s="11"/>
    </row>
    <row r="434" spans="1:244" x14ac:dyDescent="0.2">
      <c r="A434" s="18"/>
      <c r="B434" s="5" t="s">
        <v>125</v>
      </c>
      <c r="C434" s="12"/>
      <c r="D434" s="12"/>
      <c r="E434" s="12"/>
      <c r="F434" s="12"/>
      <c r="G434" s="12"/>
      <c r="H434" s="11"/>
      <c r="I434" s="11"/>
      <c r="J434" s="11"/>
      <c r="K434" s="11"/>
      <c r="L434" s="11"/>
    </row>
    <row r="435" spans="1:244" ht="51" x14ac:dyDescent="0.2">
      <c r="A435" s="54" t="s">
        <v>402</v>
      </c>
      <c r="B435" s="40" t="s">
        <v>424</v>
      </c>
      <c r="C435" s="41" t="s">
        <v>55</v>
      </c>
      <c r="D435" s="76">
        <v>7</v>
      </c>
      <c r="E435" s="45">
        <v>31.8</v>
      </c>
      <c r="F435" s="58">
        <f t="shared" ref="F435:F440" si="131">D435*E435</f>
        <v>222.6</v>
      </c>
      <c r="G435" s="41" t="s">
        <v>71</v>
      </c>
      <c r="H435" s="41"/>
      <c r="I435" s="41"/>
      <c r="J435" s="41">
        <f t="shared" ref="J435:K440" si="132">$D435*H435</f>
        <v>0</v>
      </c>
      <c r="K435" s="41">
        <f t="shared" si="132"/>
        <v>0</v>
      </c>
      <c r="L435" s="41">
        <f>J435+K435</f>
        <v>0</v>
      </c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43"/>
      <c r="BY435" s="43"/>
      <c r="BZ435" s="43"/>
      <c r="CA435" s="43"/>
      <c r="CB435" s="43"/>
      <c r="CC435" s="43"/>
      <c r="CD435" s="43"/>
      <c r="CE435" s="43"/>
      <c r="CF435" s="43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  <c r="EM435" s="43"/>
      <c r="EN435" s="43"/>
      <c r="EO435" s="43"/>
      <c r="EP435" s="43"/>
      <c r="EQ435" s="43"/>
      <c r="ER435" s="43"/>
      <c r="ES435" s="43"/>
      <c r="ET435" s="43"/>
      <c r="EU435" s="43"/>
      <c r="EV435" s="43"/>
      <c r="EW435" s="43"/>
      <c r="EX435" s="43"/>
      <c r="EY435" s="43"/>
      <c r="EZ435" s="43"/>
      <c r="FA435" s="43"/>
      <c r="FB435" s="43"/>
      <c r="FC435" s="43"/>
      <c r="FD435" s="43"/>
      <c r="FE435" s="43"/>
      <c r="FF435" s="43"/>
      <c r="FG435" s="43"/>
      <c r="FH435" s="43"/>
      <c r="FI435" s="43"/>
      <c r="FJ435" s="43"/>
      <c r="FK435" s="43"/>
      <c r="FL435" s="43"/>
      <c r="FM435" s="43"/>
      <c r="FN435" s="43"/>
      <c r="FO435" s="43"/>
      <c r="FP435" s="43"/>
      <c r="FQ435" s="43"/>
      <c r="FR435" s="43"/>
      <c r="FS435" s="43"/>
      <c r="FT435" s="43"/>
      <c r="FU435" s="43"/>
      <c r="FV435" s="43"/>
      <c r="FW435" s="43"/>
      <c r="FX435" s="43"/>
      <c r="FY435" s="43"/>
      <c r="FZ435" s="43"/>
      <c r="GA435" s="43"/>
      <c r="GB435" s="43"/>
      <c r="GC435" s="43"/>
      <c r="GD435" s="43"/>
      <c r="GE435" s="43"/>
      <c r="GF435" s="43"/>
      <c r="GG435" s="43"/>
      <c r="GH435" s="43"/>
      <c r="GI435" s="43"/>
      <c r="GJ435" s="43"/>
      <c r="GK435" s="43"/>
      <c r="GL435" s="43"/>
      <c r="GM435" s="43"/>
      <c r="GN435" s="43"/>
      <c r="GO435" s="43"/>
      <c r="GP435" s="43"/>
      <c r="GQ435" s="43"/>
      <c r="GR435" s="43"/>
      <c r="GS435" s="43"/>
      <c r="GT435" s="43"/>
      <c r="GU435" s="43"/>
      <c r="GV435" s="43"/>
      <c r="GW435" s="43"/>
      <c r="GX435" s="43"/>
      <c r="GY435" s="43"/>
      <c r="GZ435" s="43"/>
      <c r="HA435" s="43"/>
      <c r="HB435" s="43"/>
      <c r="HC435" s="43"/>
      <c r="HD435" s="43"/>
      <c r="HE435" s="43"/>
      <c r="HF435" s="43"/>
      <c r="HG435" s="43"/>
      <c r="HH435" s="43"/>
      <c r="HI435" s="43"/>
      <c r="HJ435" s="43"/>
      <c r="HK435" s="43"/>
      <c r="HL435" s="43"/>
      <c r="HM435" s="43"/>
      <c r="HN435" s="43"/>
      <c r="HO435" s="43"/>
      <c r="HP435" s="43"/>
      <c r="HQ435" s="43"/>
      <c r="HR435" s="43"/>
      <c r="HS435" s="43"/>
      <c r="HT435" s="43"/>
      <c r="HU435" s="43"/>
      <c r="HV435" s="43"/>
      <c r="HW435" s="43"/>
      <c r="HX435" s="43"/>
      <c r="HY435" s="43"/>
      <c r="HZ435" s="43"/>
      <c r="IA435" s="43"/>
      <c r="IB435" s="43"/>
      <c r="IC435" s="43"/>
      <c r="ID435" s="43"/>
      <c r="IE435" s="43"/>
      <c r="IF435" s="43"/>
      <c r="IG435" s="43"/>
      <c r="IH435" s="43"/>
      <c r="II435" s="43"/>
      <c r="IJ435" s="43"/>
    </row>
    <row r="436" spans="1:244" ht="51" x14ac:dyDescent="0.2">
      <c r="A436" s="54" t="s">
        <v>403</v>
      </c>
      <c r="B436" s="40" t="s">
        <v>425</v>
      </c>
      <c r="C436" s="41" t="s">
        <v>55</v>
      </c>
      <c r="D436" s="76">
        <v>7</v>
      </c>
      <c r="E436" s="45">
        <v>56.2</v>
      </c>
      <c r="F436" s="58">
        <f t="shared" si="131"/>
        <v>393.40000000000003</v>
      </c>
      <c r="G436" s="41" t="s">
        <v>71</v>
      </c>
      <c r="H436" s="41"/>
      <c r="I436" s="41"/>
      <c r="J436" s="41">
        <f t="shared" si="132"/>
        <v>0</v>
      </c>
      <c r="K436" s="41">
        <f t="shared" si="132"/>
        <v>0</v>
      </c>
      <c r="L436" s="41">
        <f>J436+K436</f>
        <v>0</v>
      </c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43"/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  <c r="EM436" s="43"/>
      <c r="EN436" s="43"/>
      <c r="EO436" s="43"/>
      <c r="EP436" s="43"/>
      <c r="EQ436" s="43"/>
      <c r="ER436" s="43"/>
      <c r="ES436" s="43"/>
      <c r="ET436" s="43"/>
      <c r="EU436" s="43"/>
      <c r="EV436" s="43"/>
      <c r="EW436" s="43"/>
      <c r="EX436" s="43"/>
      <c r="EY436" s="43"/>
      <c r="EZ436" s="43"/>
      <c r="FA436" s="43"/>
      <c r="FB436" s="43"/>
      <c r="FC436" s="43"/>
      <c r="FD436" s="43"/>
      <c r="FE436" s="43"/>
      <c r="FF436" s="43"/>
      <c r="FG436" s="43"/>
      <c r="FH436" s="43"/>
      <c r="FI436" s="43"/>
      <c r="FJ436" s="43"/>
      <c r="FK436" s="43"/>
      <c r="FL436" s="43"/>
      <c r="FM436" s="43"/>
      <c r="FN436" s="43"/>
      <c r="FO436" s="43"/>
      <c r="FP436" s="43"/>
      <c r="FQ436" s="43"/>
      <c r="FR436" s="43"/>
      <c r="FS436" s="43"/>
      <c r="FT436" s="43"/>
      <c r="FU436" s="43"/>
      <c r="FV436" s="43"/>
      <c r="FW436" s="43"/>
      <c r="FX436" s="43"/>
      <c r="FY436" s="43"/>
      <c r="FZ436" s="43"/>
      <c r="GA436" s="43"/>
      <c r="GB436" s="43"/>
      <c r="GC436" s="43"/>
      <c r="GD436" s="43"/>
      <c r="GE436" s="43"/>
      <c r="GF436" s="43"/>
      <c r="GG436" s="43"/>
      <c r="GH436" s="43"/>
      <c r="GI436" s="43"/>
      <c r="GJ436" s="43"/>
      <c r="GK436" s="43"/>
      <c r="GL436" s="43"/>
      <c r="GM436" s="43"/>
      <c r="GN436" s="43"/>
      <c r="GO436" s="43"/>
      <c r="GP436" s="43"/>
      <c r="GQ436" s="43"/>
      <c r="GR436" s="43"/>
      <c r="GS436" s="43"/>
      <c r="GT436" s="43"/>
      <c r="GU436" s="43"/>
      <c r="GV436" s="43"/>
      <c r="GW436" s="43"/>
      <c r="GX436" s="43"/>
      <c r="GY436" s="43"/>
      <c r="GZ436" s="43"/>
      <c r="HA436" s="43"/>
      <c r="HB436" s="43"/>
      <c r="HC436" s="43"/>
      <c r="HD436" s="43"/>
      <c r="HE436" s="43"/>
      <c r="HF436" s="43"/>
      <c r="HG436" s="43"/>
      <c r="HH436" s="43"/>
      <c r="HI436" s="43"/>
      <c r="HJ436" s="43"/>
      <c r="HK436" s="43"/>
      <c r="HL436" s="43"/>
      <c r="HM436" s="43"/>
      <c r="HN436" s="43"/>
      <c r="HO436" s="43"/>
      <c r="HP436" s="43"/>
      <c r="HQ436" s="43"/>
      <c r="HR436" s="43"/>
      <c r="HS436" s="43"/>
      <c r="HT436" s="43"/>
      <c r="HU436" s="43"/>
      <c r="HV436" s="43"/>
      <c r="HW436" s="43"/>
      <c r="HX436" s="43"/>
      <c r="HY436" s="43"/>
      <c r="HZ436" s="43"/>
      <c r="IA436" s="43"/>
      <c r="IB436" s="43"/>
      <c r="IC436" s="43"/>
      <c r="ID436" s="43"/>
      <c r="IE436" s="43"/>
      <c r="IF436" s="43"/>
      <c r="IG436" s="43"/>
      <c r="IH436" s="43"/>
      <c r="II436" s="43"/>
      <c r="IJ436" s="43"/>
    </row>
    <row r="437" spans="1:244" ht="51" x14ac:dyDescent="0.2">
      <c r="A437" s="54" t="s">
        <v>176</v>
      </c>
      <c r="B437" s="44" t="s">
        <v>103</v>
      </c>
      <c r="C437" s="41" t="s">
        <v>55</v>
      </c>
      <c r="D437" s="41">
        <f>7+2</f>
        <v>9</v>
      </c>
      <c r="E437" s="45">
        <v>1.4</v>
      </c>
      <c r="F437" s="41">
        <f t="shared" si="131"/>
        <v>12.6</v>
      </c>
      <c r="G437" s="41" t="s">
        <v>55</v>
      </c>
      <c r="H437" s="41"/>
      <c r="I437" s="41"/>
      <c r="J437" s="41">
        <f t="shared" si="132"/>
        <v>0</v>
      </c>
      <c r="K437" s="41">
        <f t="shared" si="132"/>
        <v>0</v>
      </c>
      <c r="L437" s="41">
        <f>J437+K437</f>
        <v>0</v>
      </c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  <c r="DK437" s="81"/>
      <c r="DL437" s="81"/>
      <c r="DM437" s="81"/>
      <c r="DN437" s="81"/>
      <c r="DO437" s="81"/>
      <c r="DP437" s="81"/>
      <c r="DQ437" s="81"/>
      <c r="DR437" s="81"/>
      <c r="DS437" s="81"/>
      <c r="DT437" s="81"/>
      <c r="DU437" s="81"/>
      <c r="DV437" s="81"/>
      <c r="DW437" s="81"/>
      <c r="DX437" s="81"/>
      <c r="DY437" s="81"/>
      <c r="DZ437" s="81"/>
      <c r="EA437" s="81"/>
      <c r="EB437" s="81"/>
      <c r="EC437" s="81"/>
      <c r="ED437" s="81"/>
      <c r="EE437" s="81"/>
      <c r="EF437" s="81"/>
      <c r="EG437" s="81"/>
      <c r="EH437" s="81"/>
      <c r="EI437" s="81"/>
      <c r="EJ437" s="81"/>
      <c r="EK437" s="81"/>
      <c r="EL437" s="81"/>
      <c r="EM437" s="81"/>
      <c r="EN437" s="81"/>
      <c r="EO437" s="81"/>
      <c r="EP437" s="81"/>
      <c r="EQ437" s="81"/>
      <c r="ER437" s="81"/>
      <c r="ES437" s="81"/>
      <c r="ET437" s="81"/>
      <c r="EU437" s="81"/>
      <c r="EV437" s="81"/>
      <c r="EW437" s="81"/>
      <c r="EX437" s="81"/>
      <c r="EY437" s="81"/>
      <c r="EZ437" s="81"/>
      <c r="FA437" s="81"/>
      <c r="FB437" s="81"/>
      <c r="FC437" s="81"/>
      <c r="FD437" s="81"/>
      <c r="FE437" s="81"/>
      <c r="FF437" s="81"/>
      <c r="FG437" s="81"/>
      <c r="FH437" s="81"/>
      <c r="FI437" s="81"/>
      <c r="FJ437" s="81"/>
      <c r="FK437" s="81"/>
      <c r="FL437" s="81"/>
      <c r="FM437" s="81"/>
      <c r="FN437" s="81"/>
      <c r="FO437" s="81"/>
      <c r="FP437" s="81"/>
      <c r="FQ437" s="81"/>
      <c r="FR437" s="81"/>
      <c r="FS437" s="81"/>
      <c r="FT437" s="81"/>
      <c r="FU437" s="81"/>
      <c r="FV437" s="81"/>
      <c r="FW437" s="81"/>
      <c r="FX437" s="81"/>
      <c r="FY437" s="81"/>
      <c r="FZ437" s="81"/>
      <c r="GA437" s="81"/>
      <c r="GB437" s="81"/>
      <c r="GC437" s="81"/>
      <c r="GD437" s="81"/>
      <c r="GE437" s="81"/>
      <c r="GF437" s="81"/>
      <c r="GG437" s="81"/>
      <c r="GH437" s="81"/>
      <c r="GI437" s="81"/>
      <c r="GJ437" s="81"/>
      <c r="GK437" s="81"/>
      <c r="GL437" s="81"/>
      <c r="GM437" s="81"/>
      <c r="GN437" s="81"/>
      <c r="GO437" s="81"/>
      <c r="GP437" s="81"/>
      <c r="GQ437" s="81"/>
      <c r="GR437" s="81"/>
      <c r="GS437" s="81"/>
      <c r="GT437" s="81"/>
      <c r="GU437" s="81"/>
      <c r="GV437" s="81"/>
      <c r="GW437" s="81"/>
      <c r="GX437" s="81"/>
      <c r="GY437" s="81"/>
      <c r="GZ437" s="81"/>
      <c r="HA437" s="81"/>
      <c r="HB437" s="81"/>
      <c r="HC437" s="81"/>
      <c r="HD437" s="81"/>
      <c r="HE437" s="81"/>
      <c r="HF437" s="81"/>
      <c r="HG437" s="81"/>
      <c r="HH437" s="81"/>
      <c r="HI437" s="81"/>
      <c r="HJ437" s="81"/>
      <c r="HK437" s="81"/>
      <c r="HL437" s="81"/>
      <c r="HM437" s="81"/>
      <c r="HN437" s="81"/>
      <c r="HO437" s="81"/>
      <c r="HP437" s="81"/>
      <c r="HQ437" s="81"/>
      <c r="HR437" s="81"/>
      <c r="HS437" s="81"/>
      <c r="HT437" s="81"/>
      <c r="HU437" s="81"/>
      <c r="HV437" s="81"/>
      <c r="HW437" s="81"/>
      <c r="HX437" s="81"/>
      <c r="HY437" s="81"/>
      <c r="HZ437" s="81"/>
      <c r="IA437" s="81"/>
      <c r="IB437" s="81"/>
      <c r="IC437" s="81"/>
      <c r="ID437" s="81"/>
      <c r="IE437" s="81"/>
      <c r="IF437" s="81"/>
      <c r="IG437" s="81"/>
      <c r="IH437" s="81"/>
      <c r="II437" s="81"/>
      <c r="IJ437" s="81"/>
    </row>
    <row r="438" spans="1:244" ht="25.5" x14ac:dyDescent="0.2">
      <c r="A438" s="54" t="s">
        <v>177</v>
      </c>
      <c r="B438" s="44" t="s">
        <v>179</v>
      </c>
      <c r="C438" s="41" t="s">
        <v>55</v>
      </c>
      <c r="D438" s="41">
        <f>7+2</f>
        <v>9</v>
      </c>
      <c r="E438" s="45">
        <v>2</v>
      </c>
      <c r="F438" s="41">
        <f t="shared" si="131"/>
        <v>18</v>
      </c>
      <c r="G438" s="41" t="s">
        <v>55</v>
      </c>
      <c r="H438" s="41"/>
      <c r="I438" s="41"/>
      <c r="J438" s="41">
        <f t="shared" si="132"/>
        <v>0</v>
      </c>
      <c r="K438" s="41">
        <f t="shared" si="132"/>
        <v>0</v>
      </c>
      <c r="L438" s="41">
        <f>J438+K438</f>
        <v>0</v>
      </c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  <c r="DK438" s="81"/>
      <c r="DL438" s="81"/>
      <c r="DM438" s="81"/>
      <c r="DN438" s="81"/>
      <c r="DO438" s="81"/>
      <c r="DP438" s="81"/>
      <c r="DQ438" s="81"/>
      <c r="DR438" s="81"/>
      <c r="DS438" s="81"/>
      <c r="DT438" s="81"/>
      <c r="DU438" s="81"/>
      <c r="DV438" s="81"/>
      <c r="DW438" s="81"/>
      <c r="DX438" s="81"/>
      <c r="DY438" s="81"/>
      <c r="DZ438" s="81"/>
      <c r="EA438" s="81"/>
      <c r="EB438" s="81"/>
      <c r="EC438" s="81"/>
      <c r="ED438" s="81"/>
      <c r="EE438" s="81"/>
      <c r="EF438" s="81"/>
      <c r="EG438" s="81"/>
      <c r="EH438" s="81"/>
      <c r="EI438" s="81"/>
      <c r="EJ438" s="81"/>
      <c r="EK438" s="81"/>
      <c r="EL438" s="81"/>
      <c r="EM438" s="81"/>
      <c r="EN438" s="81"/>
      <c r="EO438" s="81"/>
      <c r="EP438" s="81"/>
      <c r="EQ438" s="81"/>
      <c r="ER438" s="81"/>
      <c r="ES438" s="81"/>
      <c r="ET438" s="81"/>
      <c r="EU438" s="81"/>
      <c r="EV438" s="81"/>
      <c r="EW438" s="81"/>
      <c r="EX438" s="81"/>
      <c r="EY438" s="81"/>
      <c r="EZ438" s="81"/>
      <c r="FA438" s="81"/>
      <c r="FB438" s="81"/>
      <c r="FC438" s="81"/>
      <c r="FD438" s="81"/>
      <c r="FE438" s="81"/>
      <c r="FF438" s="81"/>
      <c r="FG438" s="81"/>
      <c r="FH438" s="81"/>
      <c r="FI438" s="81"/>
      <c r="FJ438" s="81"/>
      <c r="FK438" s="81"/>
      <c r="FL438" s="81"/>
      <c r="FM438" s="81"/>
      <c r="FN438" s="81"/>
      <c r="FO438" s="81"/>
      <c r="FP438" s="81"/>
      <c r="FQ438" s="81"/>
      <c r="FR438" s="81"/>
      <c r="FS438" s="81"/>
      <c r="FT438" s="81"/>
      <c r="FU438" s="81"/>
      <c r="FV438" s="81"/>
      <c r="FW438" s="81"/>
      <c r="FX438" s="81"/>
      <c r="FY438" s="81"/>
      <c r="FZ438" s="81"/>
      <c r="GA438" s="81"/>
      <c r="GB438" s="81"/>
      <c r="GC438" s="81"/>
      <c r="GD438" s="81"/>
      <c r="GE438" s="81"/>
      <c r="GF438" s="81"/>
      <c r="GG438" s="81"/>
      <c r="GH438" s="81"/>
      <c r="GI438" s="81"/>
      <c r="GJ438" s="81"/>
      <c r="GK438" s="81"/>
      <c r="GL438" s="81"/>
      <c r="GM438" s="81"/>
      <c r="GN438" s="81"/>
      <c r="GO438" s="81"/>
      <c r="GP438" s="81"/>
      <c r="GQ438" s="81"/>
      <c r="GR438" s="81"/>
      <c r="GS438" s="81"/>
      <c r="GT438" s="81"/>
      <c r="GU438" s="81"/>
      <c r="GV438" s="81"/>
      <c r="GW438" s="81"/>
      <c r="GX438" s="81"/>
      <c r="GY438" s="81"/>
      <c r="GZ438" s="81"/>
      <c r="HA438" s="81"/>
      <c r="HB438" s="81"/>
      <c r="HC438" s="81"/>
      <c r="HD438" s="81"/>
      <c r="HE438" s="81"/>
      <c r="HF438" s="81"/>
      <c r="HG438" s="81"/>
      <c r="HH438" s="81"/>
      <c r="HI438" s="81"/>
      <c r="HJ438" s="81"/>
      <c r="HK438" s="81"/>
      <c r="HL438" s="81"/>
      <c r="HM438" s="81"/>
      <c r="HN438" s="81"/>
      <c r="HO438" s="81"/>
      <c r="HP438" s="81"/>
      <c r="HQ438" s="81"/>
      <c r="HR438" s="81"/>
      <c r="HS438" s="81"/>
      <c r="HT438" s="81"/>
      <c r="HU438" s="81"/>
      <c r="HV438" s="81"/>
      <c r="HW438" s="81"/>
      <c r="HX438" s="81"/>
      <c r="HY438" s="81"/>
      <c r="HZ438" s="81"/>
      <c r="IA438" s="81"/>
      <c r="IB438" s="81"/>
      <c r="IC438" s="81"/>
      <c r="ID438" s="81"/>
      <c r="IE438" s="81"/>
      <c r="IF438" s="81"/>
      <c r="IG438" s="81"/>
      <c r="IH438" s="81"/>
      <c r="II438" s="81"/>
      <c r="IJ438" s="81"/>
    </row>
    <row r="439" spans="1:244" ht="25.5" x14ac:dyDescent="0.2">
      <c r="A439" s="54" t="s">
        <v>178</v>
      </c>
      <c r="B439" s="44" t="s">
        <v>175</v>
      </c>
      <c r="C439" s="41" t="s">
        <v>55</v>
      </c>
      <c r="D439" s="41">
        <v>7</v>
      </c>
      <c r="E439" s="45">
        <v>3</v>
      </c>
      <c r="F439" s="41">
        <f t="shared" si="131"/>
        <v>21</v>
      </c>
      <c r="G439" s="41" t="s">
        <v>55</v>
      </c>
      <c r="H439" s="41"/>
      <c r="I439" s="41"/>
      <c r="J439" s="41">
        <f t="shared" si="132"/>
        <v>0</v>
      </c>
      <c r="K439" s="41">
        <f t="shared" si="132"/>
        <v>0</v>
      </c>
      <c r="L439" s="41">
        <f>J439+K439</f>
        <v>0</v>
      </c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  <c r="DK439" s="81"/>
      <c r="DL439" s="81"/>
      <c r="DM439" s="81"/>
      <c r="DN439" s="81"/>
      <c r="DO439" s="81"/>
      <c r="DP439" s="81"/>
      <c r="DQ439" s="81"/>
      <c r="DR439" s="81"/>
      <c r="DS439" s="81"/>
      <c r="DT439" s="81"/>
      <c r="DU439" s="81"/>
      <c r="DV439" s="81"/>
      <c r="DW439" s="81"/>
      <c r="DX439" s="81"/>
      <c r="DY439" s="81"/>
      <c r="DZ439" s="81"/>
      <c r="EA439" s="81"/>
      <c r="EB439" s="81"/>
      <c r="EC439" s="81"/>
      <c r="ED439" s="81"/>
      <c r="EE439" s="81"/>
      <c r="EF439" s="81"/>
      <c r="EG439" s="81"/>
      <c r="EH439" s="81"/>
      <c r="EI439" s="81"/>
      <c r="EJ439" s="81"/>
      <c r="EK439" s="81"/>
      <c r="EL439" s="81"/>
      <c r="EM439" s="81"/>
      <c r="EN439" s="81"/>
      <c r="EO439" s="81"/>
      <c r="EP439" s="81"/>
      <c r="EQ439" s="81"/>
      <c r="ER439" s="81"/>
      <c r="ES439" s="81"/>
      <c r="ET439" s="81"/>
      <c r="EU439" s="81"/>
      <c r="EV439" s="81"/>
      <c r="EW439" s="81"/>
      <c r="EX439" s="81"/>
      <c r="EY439" s="81"/>
      <c r="EZ439" s="81"/>
      <c r="FA439" s="81"/>
      <c r="FB439" s="81"/>
      <c r="FC439" s="81"/>
      <c r="FD439" s="81"/>
      <c r="FE439" s="81"/>
      <c r="FF439" s="81"/>
      <c r="FG439" s="81"/>
      <c r="FH439" s="81"/>
      <c r="FI439" s="81"/>
      <c r="FJ439" s="81"/>
      <c r="FK439" s="81"/>
      <c r="FL439" s="81"/>
      <c r="FM439" s="81"/>
      <c r="FN439" s="81"/>
      <c r="FO439" s="81"/>
      <c r="FP439" s="81"/>
      <c r="FQ439" s="81"/>
      <c r="FR439" s="81"/>
      <c r="FS439" s="81"/>
      <c r="FT439" s="81"/>
      <c r="FU439" s="81"/>
      <c r="FV439" s="81"/>
      <c r="FW439" s="81"/>
      <c r="FX439" s="81"/>
      <c r="FY439" s="81"/>
      <c r="FZ439" s="81"/>
      <c r="GA439" s="81"/>
      <c r="GB439" s="81"/>
      <c r="GC439" s="81"/>
      <c r="GD439" s="81"/>
      <c r="GE439" s="81"/>
      <c r="GF439" s="81"/>
      <c r="GG439" s="81"/>
      <c r="GH439" s="81"/>
      <c r="GI439" s="81"/>
      <c r="GJ439" s="81"/>
      <c r="GK439" s="81"/>
      <c r="GL439" s="81"/>
      <c r="GM439" s="81"/>
      <c r="GN439" s="81"/>
      <c r="GO439" s="81"/>
      <c r="GP439" s="81"/>
      <c r="GQ439" s="81"/>
      <c r="GR439" s="81"/>
      <c r="GS439" s="81"/>
      <c r="GT439" s="81"/>
      <c r="GU439" s="81"/>
      <c r="GV439" s="81"/>
      <c r="GW439" s="81"/>
      <c r="GX439" s="81"/>
      <c r="GY439" s="81"/>
      <c r="GZ439" s="81"/>
      <c r="HA439" s="81"/>
      <c r="HB439" s="81"/>
      <c r="HC439" s="81"/>
      <c r="HD439" s="81"/>
      <c r="HE439" s="81"/>
      <c r="HF439" s="81"/>
      <c r="HG439" s="81"/>
      <c r="HH439" s="81"/>
      <c r="HI439" s="81"/>
      <c r="HJ439" s="81"/>
      <c r="HK439" s="81"/>
      <c r="HL439" s="81"/>
      <c r="HM439" s="81"/>
      <c r="HN439" s="81"/>
      <c r="HO439" s="81"/>
      <c r="HP439" s="81"/>
      <c r="HQ439" s="81"/>
      <c r="HR439" s="81"/>
      <c r="HS439" s="81"/>
      <c r="HT439" s="81"/>
      <c r="HU439" s="81"/>
      <c r="HV439" s="81"/>
      <c r="HW439" s="81"/>
      <c r="HX439" s="81"/>
      <c r="HY439" s="81"/>
      <c r="HZ439" s="81"/>
      <c r="IA439" s="81"/>
      <c r="IB439" s="81"/>
      <c r="IC439" s="81"/>
      <c r="ID439" s="81"/>
      <c r="IE439" s="81"/>
      <c r="IF439" s="81"/>
      <c r="IG439" s="81"/>
      <c r="IH439" s="81"/>
      <c r="II439" s="81"/>
      <c r="IJ439" s="81"/>
    </row>
    <row r="440" spans="1:244" x14ac:dyDescent="0.2">
      <c r="A440" s="18"/>
      <c r="B440" s="6" t="s">
        <v>110</v>
      </c>
      <c r="C440" s="12" t="s">
        <v>55</v>
      </c>
      <c r="D440" s="24">
        <v>922</v>
      </c>
      <c r="E440" s="12">
        <f>0.85/2</f>
        <v>0.42499999999999999</v>
      </c>
      <c r="F440" s="12">
        <f t="shared" si="131"/>
        <v>391.84999999999997</v>
      </c>
      <c r="G440" s="12" t="s">
        <v>55</v>
      </c>
      <c r="H440" s="12"/>
      <c r="I440" s="26"/>
      <c r="J440" s="26">
        <f t="shared" si="132"/>
        <v>0</v>
      </c>
      <c r="K440" s="26">
        <f t="shared" si="132"/>
        <v>0</v>
      </c>
      <c r="L440" s="26">
        <f t="shared" ref="L440:L452" si="133">J440+K440</f>
        <v>0</v>
      </c>
    </row>
    <row r="441" spans="1:244" ht="38.25" x14ac:dyDescent="0.2">
      <c r="A441" s="54"/>
      <c r="B441" s="40" t="s">
        <v>321</v>
      </c>
      <c r="C441" s="41" t="s">
        <v>70</v>
      </c>
      <c r="D441" s="76">
        <v>17472</v>
      </c>
      <c r="E441" s="45">
        <v>1.56</v>
      </c>
      <c r="F441" s="45">
        <f>CEILING(D441*E441,1)</f>
        <v>27257</v>
      </c>
      <c r="G441" s="41" t="s">
        <v>71</v>
      </c>
      <c r="H441" s="41"/>
      <c r="I441" s="41"/>
      <c r="J441" s="41">
        <f>$F441*H441</f>
        <v>0</v>
      </c>
      <c r="K441" s="41">
        <f>$D441*I441</f>
        <v>0</v>
      </c>
      <c r="L441" s="41">
        <f t="shared" si="133"/>
        <v>0</v>
      </c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  <c r="BX441" s="43"/>
      <c r="BY441" s="43"/>
      <c r="BZ441" s="43"/>
      <c r="CA441" s="43"/>
      <c r="CB441" s="43"/>
      <c r="CC441" s="43"/>
      <c r="CD441" s="43"/>
      <c r="CE441" s="43"/>
      <c r="CF441" s="43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43"/>
      <c r="CZ441" s="43"/>
      <c r="DA441" s="43"/>
      <c r="DB441" s="43"/>
      <c r="DC441" s="43"/>
      <c r="DD441" s="43"/>
      <c r="DE441" s="43"/>
      <c r="DF441" s="43"/>
      <c r="DG441" s="43"/>
      <c r="DH441" s="43"/>
      <c r="DI441" s="43"/>
      <c r="DJ441" s="43"/>
      <c r="DK441" s="43"/>
      <c r="DL441" s="43"/>
      <c r="DM441" s="43"/>
      <c r="DN441" s="43"/>
      <c r="DO441" s="43"/>
      <c r="DP441" s="43"/>
      <c r="DQ441" s="43"/>
      <c r="DR441" s="43"/>
      <c r="DS441" s="43"/>
      <c r="DT441" s="43"/>
      <c r="DU441" s="43"/>
      <c r="DV441" s="43"/>
      <c r="DW441" s="43"/>
      <c r="DX441" s="43"/>
      <c r="DY441" s="43"/>
      <c r="DZ441" s="43"/>
      <c r="EA441" s="43"/>
      <c r="EB441" s="43"/>
      <c r="EC441" s="43"/>
      <c r="ED441" s="43"/>
      <c r="EE441" s="43"/>
      <c r="EF441" s="43"/>
      <c r="EG441" s="43"/>
      <c r="EH441" s="43"/>
      <c r="EI441" s="43"/>
      <c r="EJ441" s="43"/>
      <c r="EK441" s="43"/>
      <c r="EL441" s="43"/>
      <c r="EM441" s="43"/>
      <c r="EN441" s="43"/>
      <c r="EO441" s="43"/>
      <c r="EP441" s="43"/>
      <c r="EQ441" s="43"/>
      <c r="ER441" s="43"/>
      <c r="ES441" s="43"/>
      <c r="ET441" s="43"/>
      <c r="EU441" s="43"/>
      <c r="EV441" s="43"/>
      <c r="EW441" s="43"/>
      <c r="EX441" s="43"/>
      <c r="EY441" s="43"/>
      <c r="EZ441" s="43"/>
      <c r="FA441" s="43"/>
      <c r="FB441" s="43"/>
      <c r="FC441" s="43"/>
      <c r="FD441" s="43"/>
      <c r="FE441" s="43"/>
      <c r="FF441" s="43"/>
      <c r="FG441" s="43"/>
      <c r="FH441" s="43"/>
      <c r="FI441" s="43"/>
      <c r="FJ441" s="43"/>
      <c r="FK441" s="43"/>
      <c r="FL441" s="43"/>
      <c r="FM441" s="43"/>
      <c r="FN441" s="43"/>
      <c r="FO441" s="43"/>
      <c r="FP441" s="43"/>
      <c r="FQ441" s="43"/>
      <c r="FR441" s="43"/>
      <c r="FS441" s="43"/>
      <c r="FT441" s="43"/>
      <c r="FU441" s="43"/>
      <c r="FV441" s="43"/>
      <c r="FW441" s="43"/>
      <c r="FX441" s="43"/>
      <c r="FY441" s="43"/>
      <c r="FZ441" s="43"/>
      <c r="GA441" s="43"/>
      <c r="GB441" s="43"/>
      <c r="GC441" s="43"/>
      <c r="GD441" s="43"/>
      <c r="GE441" s="43"/>
      <c r="GF441" s="43"/>
      <c r="GG441" s="43"/>
      <c r="GH441" s="43"/>
      <c r="GI441" s="43"/>
      <c r="GJ441" s="43"/>
      <c r="GK441" s="43"/>
      <c r="GL441" s="43"/>
      <c r="GM441" s="43"/>
      <c r="GN441" s="43"/>
      <c r="GO441" s="43"/>
      <c r="GP441" s="43"/>
      <c r="GQ441" s="43"/>
      <c r="GR441" s="43"/>
      <c r="GS441" s="43"/>
      <c r="GT441" s="43"/>
      <c r="GU441" s="43"/>
      <c r="GV441" s="43"/>
      <c r="GW441" s="43"/>
      <c r="GX441" s="43"/>
      <c r="GY441" s="43"/>
      <c r="GZ441" s="43"/>
      <c r="HA441" s="43"/>
      <c r="HB441" s="43"/>
      <c r="HC441" s="43"/>
      <c r="HD441" s="43"/>
      <c r="HE441" s="43"/>
      <c r="HF441" s="43"/>
      <c r="HG441" s="43"/>
      <c r="HH441" s="43"/>
      <c r="HI441" s="43"/>
      <c r="HJ441" s="43"/>
      <c r="HK441" s="43"/>
      <c r="HL441" s="43"/>
      <c r="HM441" s="43"/>
      <c r="HN441" s="43"/>
      <c r="HO441" s="43"/>
      <c r="HP441" s="43"/>
      <c r="HQ441" s="43"/>
      <c r="HR441" s="43"/>
      <c r="HS441" s="43"/>
      <c r="HT441" s="43"/>
      <c r="HU441" s="43"/>
      <c r="HV441" s="43"/>
      <c r="HW441" s="43"/>
      <c r="HX441" s="43"/>
      <c r="HY441" s="43"/>
      <c r="HZ441" s="43"/>
      <c r="IA441" s="43"/>
      <c r="IB441" s="43"/>
      <c r="IC441" s="43"/>
      <c r="ID441" s="43"/>
      <c r="IE441" s="43"/>
      <c r="IF441" s="43"/>
      <c r="IG441" s="43"/>
      <c r="IH441" s="43"/>
      <c r="II441" s="43"/>
      <c r="IJ441" s="43"/>
    </row>
    <row r="442" spans="1:244" s="81" customFormat="1" ht="51" x14ac:dyDescent="0.2">
      <c r="A442" s="54"/>
      <c r="B442" s="44" t="s">
        <v>404</v>
      </c>
      <c r="C442" s="41" t="s">
        <v>55</v>
      </c>
      <c r="D442" s="46">
        <v>154</v>
      </c>
      <c r="E442" s="45">
        <v>0.25</v>
      </c>
      <c r="F442" s="55">
        <f>D442*E442</f>
        <v>38.5</v>
      </c>
      <c r="G442" s="41" t="s">
        <v>71</v>
      </c>
      <c r="H442" s="41"/>
      <c r="I442" s="41"/>
      <c r="J442" s="41">
        <f>$D442*H442</f>
        <v>0</v>
      </c>
      <c r="K442" s="41">
        <f>$D442*I442</f>
        <v>0</v>
      </c>
      <c r="L442" s="41">
        <f t="shared" si="133"/>
        <v>0</v>
      </c>
    </row>
    <row r="443" spans="1:244" ht="38.25" x14ac:dyDescent="0.2">
      <c r="A443" s="54" t="s">
        <v>181</v>
      </c>
      <c r="B443" s="40" t="s">
        <v>322</v>
      </c>
      <c r="C443" s="41" t="s">
        <v>70</v>
      </c>
      <c r="D443" s="76">
        <v>6</v>
      </c>
      <c r="E443" s="45">
        <v>1.56</v>
      </c>
      <c r="F443" s="55">
        <f>D443*E443</f>
        <v>9.36</v>
      </c>
      <c r="G443" s="41" t="s">
        <v>71</v>
      </c>
      <c r="H443" s="41"/>
      <c r="I443" s="41"/>
      <c r="J443" s="41">
        <f>$F443*H443</f>
        <v>0</v>
      </c>
      <c r="K443" s="41">
        <f>$D443*I443</f>
        <v>0</v>
      </c>
      <c r="L443" s="41">
        <f>J443+K443</f>
        <v>0</v>
      </c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  <c r="BX443" s="43"/>
      <c r="BY443" s="43"/>
      <c r="BZ443" s="43"/>
      <c r="CA443" s="43"/>
      <c r="CB443" s="43"/>
      <c r="CC443" s="43"/>
      <c r="CD443" s="43"/>
      <c r="CE443" s="43"/>
      <c r="CF443" s="43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43"/>
      <c r="CZ443" s="43"/>
      <c r="DA443" s="43"/>
      <c r="DB443" s="43"/>
      <c r="DC443" s="43"/>
      <c r="DD443" s="43"/>
      <c r="DE443" s="43"/>
      <c r="DF443" s="43"/>
      <c r="DG443" s="43"/>
      <c r="DH443" s="43"/>
      <c r="DI443" s="43"/>
      <c r="DJ443" s="43"/>
      <c r="DK443" s="43"/>
      <c r="DL443" s="43"/>
      <c r="DM443" s="43"/>
      <c r="DN443" s="43"/>
      <c r="DO443" s="43"/>
      <c r="DP443" s="43"/>
      <c r="DQ443" s="43"/>
      <c r="DR443" s="43"/>
      <c r="DS443" s="43"/>
      <c r="DT443" s="43"/>
      <c r="DU443" s="43"/>
      <c r="DV443" s="43"/>
      <c r="DW443" s="43"/>
      <c r="DX443" s="43"/>
      <c r="DY443" s="43"/>
      <c r="DZ443" s="43"/>
      <c r="EA443" s="43"/>
      <c r="EB443" s="43"/>
      <c r="EC443" s="43"/>
      <c r="ED443" s="43"/>
      <c r="EE443" s="43"/>
      <c r="EF443" s="43"/>
      <c r="EG443" s="43"/>
      <c r="EH443" s="43"/>
      <c r="EI443" s="43"/>
      <c r="EJ443" s="43"/>
      <c r="EK443" s="43"/>
      <c r="EL443" s="43"/>
      <c r="EM443" s="43"/>
      <c r="EN443" s="43"/>
      <c r="EO443" s="43"/>
      <c r="EP443" s="43"/>
      <c r="EQ443" s="43"/>
      <c r="ER443" s="43"/>
      <c r="ES443" s="43"/>
      <c r="ET443" s="43"/>
      <c r="EU443" s="43"/>
      <c r="EV443" s="43"/>
      <c r="EW443" s="43"/>
      <c r="EX443" s="43"/>
      <c r="EY443" s="43"/>
      <c r="EZ443" s="43"/>
      <c r="FA443" s="43"/>
      <c r="FB443" s="43"/>
      <c r="FC443" s="43"/>
      <c r="FD443" s="43"/>
      <c r="FE443" s="43"/>
      <c r="FF443" s="43"/>
      <c r="FG443" s="43"/>
      <c r="FH443" s="43"/>
      <c r="FI443" s="43"/>
      <c r="FJ443" s="43"/>
      <c r="FK443" s="43"/>
      <c r="FL443" s="43"/>
      <c r="FM443" s="43"/>
      <c r="FN443" s="43"/>
      <c r="FO443" s="43"/>
      <c r="FP443" s="43"/>
      <c r="FQ443" s="43"/>
      <c r="FR443" s="43"/>
      <c r="FS443" s="43"/>
      <c r="FT443" s="43"/>
      <c r="FU443" s="43"/>
      <c r="FV443" s="43"/>
      <c r="FW443" s="43"/>
      <c r="FX443" s="43"/>
      <c r="FY443" s="43"/>
      <c r="FZ443" s="43"/>
      <c r="GA443" s="43"/>
      <c r="GB443" s="43"/>
      <c r="GC443" s="43"/>
      <c r="GD443" s="43"/>
      <c r="GE443" s="43"/>
      <c r="GF443" s="43"/>
      <c r="GG443" s="43"/>
      <c r="GH443" s="43"/>
      <c r="GI443" s="43"/>
      <c r="GJ443" s="43"/>
      <c r="GK443" s="43"/>
      <c r="GL443" s="43"/>
      <c r="GM443" s="43"/>
      <c r="GN443" s="43"/>
      <c r="GO443" s="43"/>
      <c r="GP443" s="43"/>
      <c r="GQ443" s="43"/>
      <c r="GR443" s="43"/>
      <c r="GS443" s="43"/>
      <c r="GT443" s="43"/>
      <c r="GU443" s="43"/>
      <c r="GV443" s="43"/>
      <c r="GW443" s="43"/>
      <c r="GX443" s="43"/>
      <c r="GY443" s="43"/>
      <c r="GZ443" s="43"/>
      <c r="HA443" s="43"/>
      <c r="HB443" s="43"/>
      <c r="HC443" s="43"/>
      <c r="HD443" s="43"/>
      <c r="HE443" s="43"/>
      <c r="HF443" s="43"/>
      <c r="HG443" s="43"/>
      <c r="HH443" s="43"/>
      <c r="HI443" s="43"/>
      <c r="HJ443" s="43"/>
      <c r="HK443" s="43"/>
      <c r="HL443" s="43"/>
      <c r="HM443" s="43"/>
      <c r="HN443" s="43"/>
      <c r="HO443" s="43"/>
      <c r="HP443" s="43"/>
      <c r="HQ443" s="43"/>
      <c r="HR443" s="43"/>
      <c r="HS443" s="43"/>
      <c r="HT443" s="43"/>
      <c r="HU443" s="43"/>
      <c r="HV443" s="43"/>
      <c r="HW443" s="43"/>
      <c r="HX443" s="43"/>
      <c r="HY443" s="43"/>
      <c r="HZ443" s="43"/>
      <c r="IA443" s="43"/>
      <c r="IB443" s="43"/>
      <c r="IC443" s="43"/>
      <c r="ID443" s="43"/>
      <c r="IE443" s="43"/>
      <c r="IF443" s="43"/>
      <c r="IG443" s="43"/>
      <c r="IH443" s="43"/>
      <c r="II443" s="43"/>
      <c r="IJ443" s="43"/>
    </row>
    <row r="444" spans="1:244" ht="38.25" x14ac:dyDescent="0.2">
      <c r="A444" s="54" t="s">
        <v>126</v>
      </c>
      <c r="B444" s="44" t="s">
        <v>323</v>
      </c>
      <c r="C444" s="41" t="s">
        <v>70</v>
      </c>
      <c r="D444" s="76">
        <f>CEILING(1.01*(4.1+3+0.5+24),3)</f>
        <v>33</v>
      </c>
      <c r="E444" s="45">
        <v>7.57</v>
      </c>
      <c r="F444" s="55">
        <f t="shared" ref="F444:F451" si="134">D444*E444</f>
        <v>249.81</v>
      </c>
      <c r="G444" s="41" t="s">
        <v>71</v>
      </c>
      <c r="H444" s="41"/>
      <c r="I444" s="41"/>
      <c r="J444" s="41">
        <f>$F444*H444</f>
        <v>0</v>
      </c>
      <c r="K444" s="41">
        <f>$D444*I444</f>
        <v>0</v>
      </c>
      <c r="L444" s="41">
        <f t="shared" si="133"/>
        <v>0</v>
      </c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43"/>
      <c r="BY444" s="43"/>
      <c r="BZ444" s="43"/>
      <c r="CA444" s="43"/>
      <c r="CB444" s="43"/>
      <c r="CC444" s="43"/>
      <c r="CD444" s="43"/>
      <c r="CE444" s="43"/>
      <c r="CF444" s="43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43"/>
      <c r="CZ444" s="43"/>
      <c r="DA444" s="43"/>
      <c r="DB444" s="43"/>
      <c r="DC444" s="43"/>
      <c r="DD444" s="43"/>
      <c r="DE444" s="43"/>
      <c r="DF444" s="43"/>
      <c r="DG444" s="43"/>
      <c r="DH444" s="43"/>
      <c r="DI444" s="43"/>
      <c r="DJ444" s="43"/>
      <c r="DK444" s="43"/>
      <c r="DL444" s="43"/>
      <c r="DM444" s="43"/>
      <c r="DN444" s="43"/>
      <c r="DO444" s="43"/>
      <c r="DP444" s="43"/>
      <c r="DQ444" s="43"/>
      <c r="DR444" s="43"/>
      <c r="DS444" s="43"/>
      <c r="DT444" s="43"/>
      <c r="DU444" s="43"/>
      <c r="DV444" s="43"/>
      <c r="DW444" s="43"/>
      <c r="DX444" s="43"/>
      <c r="DY444" s="43"/>
      <c r="DZ444" s="43"/>
      <c r="EA444" s="43"/>
      <c r="EB444" s="43"/>
      <c r="EC444" s="43"/>
      <c r="ED444" s="43"/>
      <c r="EE444" s="43"/>
      <c r="EF444" s="43"/>
      <c r="EG444" s="43"/>
      <c r="EH444" s="43"/>
      <c r="EI444" s="43"/>
      <c r="EJ444" s="43"/>
      <c r="EK444" s="43"/>
      <c r="EL444" s="43"/>
      <c r="EM444" s="43"/>
      <c r="EN444" s="43"/>
      <c r="EO444" s="43"/>
      <c r="EP444" s="43"/>
      <c r="EQ444" s="43"/>
      <c r="ER444" s="43"/>
      <c r="ES444" s="43"/>
      <c r="ET444" s="43"/>
      <c r="EU444" s="43"/>
      <c r="EV444" s="43"/>
      <c r="EW444" s="43"/>
      <c r="EX444" s="43"/>
      <c r="EY444" s="43"/>
      <c r="EZ444" s="43"/>
      <c r="FA444" s="43"/>
      <c r="FB444" s="43"/>
      <c r="FC444" s="43"/>
      <c r="FD444" s="43"/>
      <c r="FE444" s="43"/>
      <c r="FF444" s="43"/>
      <c r="FG444" s="43"/>
      <c r="FH444" s="43"/>
      <c r="FI444" s="43"/>
      <c r="FJ444" s="43"/>
      <c r="FK444" s="43"/>
      <c r="FL444" s="43"/>
      <c r="FM444" s="43"/>
      <c r="FN444" s="43"/>
      <c r="FO444" s="43"/>
      <c r="FP444" s="43"/>
      <c r="FQ444" s="43"/>
      <c r="FR444" s="43"/>
      <c r="FS444" s="43"/>
      <c r="FT444" s="43"/>
      <c r="FU444" s="43"/>
      <c r="FV444" s="43"/>
      <c r="FW444" s="43"/>
      <c r="FX444" s="43"/>
      <c r="FY444" s="43"/>
      <c r="FZ444" s="43"/>
      <c r="GA444" s="43"/>
      <c r="GB444" s="43"/>
      <c r="GC444" s="43"/>
      <c r="GD444" s="43"/>
      <c r="GE444" s="43"/>
      <c r="GF444" s="43"/>
      <c r="GG444" s="43"/>
      <c r="GH444" s="43"/>
      <c r="GI444" s="43"/>
      <c r="GJ444" s="43"/>
      <c r="GK444" s="43"/>
      <c r="GL444" s="43"/>
      <c r="GM444" s="43"/>
      <c r="GN444" s="43"/>
      <c r="GO444" s="43"/>
      <c r="GP444" s="43"/>
      <c r="GQ444" s="43"/>
      <c r="GR444" s="43"/>
      <c r="GS444" s="43"/>
      <c r="GT444" s="43"/>
      <c r="GU444" s="43"/>
      <c r="GV444" s="43"/>
      <c r="GW444" s="43"/>
      <c r="GX444" s="43"/>
      <c r="GY444" s="43"/>
      <c r="GZ444" s="43"/>
      <c r="HA444" s="43"/>
      <c r="HB444" s="43"/>
      <c r="HC444" s="43"/>
      <c r="HD444" s="43"/>
      <c r="HE444" s="43"/>
      <c r="HF444" s="43"/>
      <c r="HG444" s="43"/>
      <c r="HH444" s="43"/>
      <c r="HI444" s="43"/>
      <c r="HJ444" s="43"/>
      <c r="HK444" s="43"/>
      <c r="HL444" s="43"/>
      <c r="HM444" s="43"/>
      <c r="HN444" s="43"/>
      <c r="HO444" s="43"/>
      <c r="HP444" s="43"/>
      <c r="HQ444" s="43"/>
      <c r="HR444" s="43"/>
      <c r="HS444" s="43"/>
      <c r="HT444" s="43"/>
      <c r="HU444" s="43"/>
      <c r="HV444" s="43"/>
      <c r="HW444" s="43"/>
      <c r="HX444" s="43"/>
      <c r="HY444" s="43"/>
      <c r="HZ444" s="43"/>
      <c r="IA444" s="43"/>
      <c r="IB444" s="43"/>
      <c r="IC444" s="43"/>
      <c r="ID444" s="43"/>
      <c r="IE444" s="43"/>
      <c r="IF444" s="43"/>
      <c r="IG444" s="43"/>
      <c r="IH444" s="43"/>
      <c r="II444" s="43"/>
      <c r="IJ444" s="43"/>
    </row>
    <row r="445" spans="1:244" ht="38.25" x14ac:dyDescent="0.2">
      <c r="A445" s="54" t="s">
        <v>127</v>
      </c>
      <c r="B445" s="44" t="s">
        <v>324</v>
      </c>
      <c r="C445" s="41" t="s">
        <v>70</v>
      </c>
      <c r="D445" s="76">
        <f>CEILING(1.01*(3.8+24.5+1),3)</f>
        <v>30</v>
      </c>
      <c r="E445" s="45">
        <v>15</v>
      </c>
      <c r="F445" s="55">
        <f t="shared" si="134"/>
        <v>450</v>
      </c>
      <c r="G445" s="41" t="s">
        <v>71</v>
      </c>
      <c r="H445" s="41"/>
      <c r="I445" s="41"/>
      <c r="J445" s="41">
        <f>$F445*H445</f>
        <v>0</v>
      </c>
      <c r="K445" s="41">
        <f>$D445*I445</f>
        <v>0</v>
      </c>
      <c r="L445" s="41">
        <f t="shared" si="133"/>
        <v>0</v>
      </c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  <c r="DK445" s="81"/>
      <c r="DL445" s="81"/>
      <c r="DM445" s="81"/>
      <c r="DN445" s="81"/>
      <c r="DO445" s="81"/>
      <c r="DP445" s="81"/>
      <c r="DQ445" s="81"/>
      <c r="DR445" s="81"/>
      <c r="DS445" s="81"/>
      <c r="DT445" s="81"/>
      <c r="DU445" s="81"/>
      <c r="DV445" s="81"/>
      <c r="DW445" s="81"/>
      <c r="DX445" s="81"/>
      <c r="DY445" s="81"/>
      <c r="DZ445" s="81"/>
      <c r="EA445" s="81"/>
      <c r="EB445" s="81"/>
      <c r="EC445" s="81"/>
      <c r="ED445" s="81"/>
      <c r="EE445" s="81"/>
      <c r="EF445" s="81"/>
      <c r="EG445" s="81"/>
      <c r="EH445" s="81"/>
      <c r="EI445" s="81"/>
      <c r="EJ445" s="81"/>
      <c r="EK445" s="81"/>
      <c r="EL445" s="81"/>
      <c r="EM445" s="81"/>
      <c r="EN445" s="81"/>
      <c r="EO445" s="81"/>
      <c r="EP445" s="81"/>
      <c r="EQ445" s="81"/>
      <c r="ER445" s="81"/>
      <c r="ES445" s="81"/>
      <c r="ET445" s="81"/>
      <c r="EU445" s="81"/>
      <c r="EV445" s="81"/>
      <c r="EW445" s="81"/>
      <c r="EX445" s="81"/>
      <c r="EY445" s="81"/>
      <c r="EZ445" s="81"/>
      <c r="FA445" s="81"/>
      <c r="FB445" s="81"/>
      <c r="FC445" s="81"/>
      <c r="FD445" s="81"/>
      <c r="FE445" s="81"/>
      <c r="FF445" s="81"/>
      <c r="FG445" s="81"/>
      <c r="FH445" s="81"/>
      <c r="FI445" s="81"/>
      <c r="FJ445" s="81"/>
      <c r="FK445" s="81"/>
      <c r="FL445" s="81"/>
      <c r="FM445" s="81"/>
      <c r="FN445" s="81"/>
      <c r="FO445" s="81"/>
      <c r="FP445" s="81"/>
      <c r="FQ445" s="81"/>
      <c r="FR445" s="81"/>
      <c r="FS445" s="81"/>
      <c r="FT445" s="81"/>
      <c r="FU445" s="81"/>
      <c r="FV445" s="81"/>
      <c r="FW445" s="81"/>
      <c r="FX445" s="81"/>
      <c r="FY445" s="81"/>
      <c r="FZ445" s="81"/>
      <c r="GA445" s="81"/>
      <c r="GB445" s="81"/>
      <c r="GC445" s="81"/>
      <c r="GD445" s="81"/>
      <c r="GE445" s="81"/>
      <c r="GF445" s="81"/>
      <c r="GG445" s="81"/>
      <c r="GH445" s="81"/>
      <c r="GI445" s="81"/>
      <c r="GJ445" s="81"/>
      <c r="GK445" s="81"/>
      <c r="GL445" s="81"/>
      <c r="GM445" s="81"/>
      <c r="GN445" s="81"/>
      <c r="GO445" s="81"/>
      <c r="GP445" s="81"/>
      <c r="GQ445" s="81"/>
      <c r="GR445" s="81"/>
      <c r="GS445" s="81"/>
      <c r="GT445" s="81"/>
      <c r="GU445" s="81"/>
      <c r="GV445" s="81"/>
      <c r="GW445" s="81"/>
      <c r="GX445" s="81"/>
      <c r="GY445" s="81"/>
      <c r="GZ445" s="81"/>
      <c r="HA445" s="81"/>
      <c r="HB445" s="81"/>
      <c r="HC445" s="81"/>
      <c r="HD445" s="81"/>
      <c r="HE445" s="81"/>
      <c r="HF445" s="81"/>
      <c r="HG445" s="81"/>
      <c r="HH445" s="81"/>
      <c r="HI445" s="81"/>
      <c r="HJ445" s="81"/>
      <c r="HK445" s="81"/>
      <c r="HL445" s="81"/>
      <c r="HM445" s="81"/>
      <c r="HN445" s="81"/>
      <c r="HO445" s="81"/>
      <c r="HP445" s="81"/>
      <c r="HQ445" s="81"/>
      <c r="HR445" s="81"/>
      <c r="HS445" s="81"/>
      <c r="HT445" s="81"/>
      <c r="HU445" s="81"/>
      <c r="HV445" s="81"/>
      <c r="HW445" s="81"/>
      <c r="HX445" s="81"/>
      <c r="HY445" s="81"/>
      <c r="HZ445" s="81"/>
      <c r="IA445" s="81"/>
      <c r="IB445" s="81"/>
      <c r="IC445" s="81"/>
      <c r="ID445" s="81"/>
      <c r="IE445" s="81"/>
      <c r="IF445" s="81"/>
      <c r="IG445" s="81"/>
      <c r="IH445" s="81"/>
      <c r="II445" s="81"/>
      <c r="IJ445" s="81"/>
    </row>
    <row r="446" spans="1:244" ht="51" x14ac:dyDescent="0.2">
      <c r="A446" s="18"/>
      <c r="B446" s="6" t="s">
        <v>109</v>
      </c>
      <c r="C446" s="12" t="s">
        <v>55</v>
      </c>
      <c r="D446" s="24">
        <v>154</v>
      </c>
      <c r="E446" s="12">
        <f>0.57</f>
        <v>0.56999999999999995</v>
      </c>
      <c r="F446" s="12">
        <f t="shared" si="134"/>
        <v>87.779999999999987</v>
      </c>
      <c r="G446" s="12" t="s">
        <v>55</v>
      </c>
      <c r="H446" s="26"/>
      <c r="I446" s="26"/>
      <c r="J446" s="60">
        <f t="shared" ref="J446:K452" si="135">$D446*H446</f>
        <v>0</v>
      </c>
      <c r="K446" s="60">
        <f>D446*I446</f>
        <v>0</v>
      </c>
      <c r="L446" s="26">
        <f t="shared" si="133"/>
        <v>0</v>
      </c>
    </row>
    <row r="447" spans="1:244" ht="25.5" x14ac:dyDescent="0.2">
      <c r="A447" s="84"/>
      <c r="B447" s="85" t="s">
        <v>108</v>
      </c>
      <c r="C447" s="41" t="s">
        <v>55</v>
      </c>
      <c r="D447" s="24">
        <v>154</v>
      </c>
      <c r="E447" s="45">
        <f>ROUND(PI()/2*29/1000*1.56,2)</f>
        <v>7.0000000000000007E-2</v>
      </c>
      <c r="F447" s="41">
        <f t="shared" si="134"/>
        <v>10.780000000000001</v>
      </c>
      <c r="G447" s="41" t="s">
        <v>55</v>
      </c>
      <c r="H447" s="75"/>
      <c r="I447" s="75"/>
      <c r="J447" s="41">
        <f t="shared" si="135"/>
        <v>0</v>
      </c>
      <c r="K447" s="41">
        <f t="shared" si="135"/>
        <v>0</v>
      </c>
      <c r="L447" s="41">
        <f t="shared" si="133"/>
        <v>0</v>
      </c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8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8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84"/>
      <c r="DH447" s="84"/>
      <c r="DI447" s="84"/>
      <c r="DJ447" s="84"/>
      <c r="DK447" s="84"/>
      <c r="DL447" s="84"/>
      <c r="DM447" s="84"/>
      <c r="DN447" s="84"/>
      <c r="DO447" s="84"/>
      <c r="DP447" s="84"/>
      <c r="DQ447" s="84"/>
      <c r="DR447" s="84"/>
      <c r="DS447" s="84"/>
      <c r="DT447" s="84"/>
      <c r="DU447" s="84"/>
      <c r="DV447" s="84"/>
      <c r="DW447" s="84"/>
      <c r="DX447" s="84"/>
      <c r="DY447" s="84"/>
      <c r="DZ447" s="84"/>
      <c r="EA447" s="84"/>
      <c r="EB447" s="84"/>
      <c r="EC447" s="84"/>
      <c r="ED447" s="84"/>
      <c r="EE447" s="84"/>
      <c r="EF447" s="84"/>
      <c r="EG447" s="84"/>
      <c r="EH447" s="84"/>
      <c r="EI447" s="84"/>
      <c r="EJ447" s="84"/>
      <c r="EK447" s="84"/>
      <c r="EL447" s="84"/>
      <c r="EM447" s="84"/>
      <c r="EN447" s="84"/>
      <c r="EO447" s="84"/>
      <c r="EP447" s="84"/>
      <c r="EQ447" s="84"/>
      <c r="ER447" s="84"/>
      <c r="ES447" s="84"/>
      <c r="ET447" s="84"/>
      <c r="EU447" s="84"/>
      <c r="EV447" s="84"/>
      <c r="EW447" s="84"/>
      <c r="EX447" s="84"/>
      <c r="EY447" s="84"/>
      <c r="EZ447" s="84"/>
      <c r="FA447" s="84"/>
      <c r="FB447" s="84"/>
      <c r="FC447" s="84"/>
      <c r="FD447" s="84"/>
      <c r="FE447" s="84"/>
      <c r="FF447" s="84"/>
      <c r="FG447" s="84"/>
      <c r="FH447" s="84"/>
      <c r="FI447" s="84"/>
      <c r="FJ447" s="84"/>
      <c r="FK447" s="84"/>
      <c r="FL447" s="84"/>
      <c r="FM447" s="84"/>
      <c r="FN447" s="84"/>
      <c r="FO447" s="84"/>
      <c r="FP447" s="84"/>
      <c r="FQ447" s="84"/>
      <c r="FR447" s="84"/>
      <c r="FS447" s="84"/>
      <c r="FT447" s="84"/>
      <c r="FU447" s="84"/>
      <c r="FV447" s="84"/>
      <c r="FW447" s="84"/>
      <c r="FX447" s="84"/>
      <c r="FY447" s="84"/>
      <c r="FZ447" s="84"/>
      <c r="GA447" s="84"/>
      <c r="GB447" s="84"/>
      <c r="GC447" s="84"/>
      <c r="GD447" s="84"/>
      <c r="GE447" s="84"/>
      <c r="GF447" s="84"/>
      <c r="GG447" s="84"/>
      <c r="GH447" s="84"/>
      <c r="GI447" s="84"/>
      <c r="GJ447" s="84"/>
      <c r="GK447" s="84"/>
      <c r="GL447" s="84"/>
      <c r="GM447" s="84"/>
      <c r="GN447" s="84"/>
      <c r="GO447" s="84"/>
      <c r="GP447" s="84"/>
      <c r="GQ447" s="84"/>
      <c r="GR447" s="84"/>
      <c r="GS447" s="84"/>
      <c r="GT447" s="84"/>
      <c r="GU447" s="84"/>
      <c r="GV447" s="84"/>
      <c r="GW447" s="84"/>
      <c r="GX447" s="84"/>
      <c r="GY447" s="84"/>
      <c r="GZ447" s="84"/>
      <c r="HA447" s="84"/>
      <c r="HB447" s="84"/>
      <c r="HC447" s="84"/>
      <c r="HD447" s="84"/>
      <c r="HE447" s="84"/>
      <c r="HF447" s="84"/>
      <c r="HG447" s="84"/>
      <c r="HH447" s="84"/>
      <c r="HI447" s="84"/>
      <c r="HJ447" s="84"/>
      <c r="HK447" s="84"/>
      <c r="HL447" s="84"/>
      <c r="HM447" s="84"/>
      <c r="HN447" s="84"/>
      <c r="HO447" s="84"/>
      <c r="HP447" s="84"/>
      <c r="HQ447" s="84"/>
      <c r="HR447" s="84"/>
      <c r="HS447" s="84"/>
      <c r="HT447" s="84"/>
      <c r="HU447" s="84"/>
      <c r="HV447" s="84"/>
      <c r="HW447" s="84"/>
      <c r="HX447" s="84"/>
      <c r="HY447" s="84"/>
      <c r="HZ447" s="84"/>
      <c r="IA447" s="84"/>
      <c r="IB447" s="84"/>
      <c r="IC447" s="84"/>
      <c r="ID447" s="84"/>
      <c r="IE447" s="84"/>
      <c r="IF447" s="84"/>
      <c r="IG447" s="84"/>
      <c r="IH447" s="84"/>
      <c r="II447" s="84"/>
      <c r="IJ447" s="84"/>
    </row>
    <row r="448" spans="1:244" s="84" customFormat="1" ht="25.5" x14ac:dyDescent="0.2">
      <c r="B448" s="85" t="s">
        <v>119</v>
      </c>
      <c r="C448" s="41" t="s">
        <v>55</v>
      </c>
      <c r="D448" s="41">
        <f>4</f>
        <v>4</v>
      </c>
      <c r="E448" s="45">
        <f>ROUND(PI()/2*95/1000*5.75,2)</f>
        <v>0.86</v>
      </c>
      <c r="F448" s="41">
        <f t="shared" si="134"/>
        <v>3.44</v>
      </c>
      <c r="G448" s="41" t="s">
        <v>55</v>
      </c>
      <c r="H448" s="75"/>
      <c r="I448" s="75"/>
      <c r="J448" s="41">
        <f t="shared" si="135"/>
        <v>0</v>
      </c>
      <c r="K448" s="41">
        <f t="shared" si="135"/>
        <v>0</v>
      </c>
      <c r="L448" s="41">
        <f t="shared" si="133"/>
        <v>0</v>
      </c>
    </row>
    <row r="449" spans="1:244" ht="25.5" x14ac:dyDescent="0.2">
      <c r="A449" s="84"/>
      <c r="B449" s="85" t="s">
        <v>120</v>
      </c>
      <c r="C449" s="41" t="s">
        <v>55</v>
      </c>
      <c r="D449" s="41">
        <f>3</f>
        <v>3</v>
      </c>
      <c r="E449" s="45">
        <f>ROUND(PI()/2*190/1000*15,2)</f>
        <v>4.4800000000000004</v>
      </c>
      <c r="F449" s="41">
        <f>D449*E449</f>
        <v>13.440000000000001</v>
      </c>
      <c r="G449" s="41" t="s">
        <v>55</v>
      </c>
      <c r="H449" s="75"/>
      <c r="I449" s="75"/>
      <c r="J449" s="41">
        <f>$D449*H449</f>
        <v>0</v>
      </c>
      <c r="K449" s="41">
        <f t="shared" si="135"/>
        <v>0</v>
      </c>
      <c r="L449" s="41">
        <f>J449+K449</f>
        <v>0</v>
      </c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8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8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8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84"/>
      <c r="DH449" s="84"/>
      <c r="DI449" s="84"/>
      <c r="DJ449" s="84"/>
      <c r="DK449" s="84"/>
      <c r="DL449" s="84"/>
      <c r="DM449" s="84"/>
      <c r="DN449" s="84"/>
      <c r="DO449" s="84"/>
      <c r="DP449" s="84"/>
      <c r="DQ449" s="84"/>
      <c r="DR449" s="84"/>
      <c r="DS449" s="84"/>
      <c r="DT449" s="84"/>
      <c r="DU449" s="84"/>
      <c r="DV449" s="84"/>
      <c r="DW449" s="84"/>
      <c r="DX449" s="84"/>
      <c r="DY449" s="84"/>
      <c r="DZ449" s="84"/>
      <c r="EA449" s="84"/>
      <c r="EB449" s="84"/>
      <c r="EC449" s="84"/>
      <c r="ED449" s="84"/>
      <c r="EE449" s="84"/>
      <c r="EF449" s="84"/>
      <c r="EG449" s="84"/>
      <c r="EH449" s="84"/>
      <c r="EI449" s="84"/>
      <c r="EJ449" s="84"/>
      <c r="EK449" s="84"/>
      <c r="EL449" s="84"/>
      <c r="EM449" s="84"/>
      <c r="EN449" s="84"/>
      <c r="EO449" s="84"/>
      <c r="EP449" s="84"/>
      <c r="EQ449" s="84"/>
      <c r="ER449" s="84"/>
      <c r="ES449" s="84"/>
      <c r="ET449" s="84"/>
      <c r="EU449" s="84"/>
      <c r="EV449" s="84"/>
      <c r="EW449" s="84"/>
      <c r="EX449" s="84"/>
      <c r="EY449" s="84"/>
      <c r="EZ449" s="84"/>
      <c r="FA449" s="84"/>
      <c r="FB449" s="84"/>
      <c r="FC449" s="84"/>
      <c r="FD449" s="84"/>
      <c r="FE449" s="84"/>
      <c r="FF449" s="84"/>
      <c r="FG449" s="84"/>
      <c r="FH449" s="84"/>
      <c r="FI449" s="84"/>
      <c r="FJ449" s="84"/>
      <c r="FK449" s="84"/>
      <c r="FL449" s="84"/>
      <c r="FM449" s="84"/>
      <c r="FN449" s="84"/>
      <c r="FO449" s="84"/>
      <c r="FP449" s="84"/>
      <c r="FQ449" s="84"/>
      <c r="FR449" s="84"/>
      <c r="FS449" s="84"/>
      <c r="FT449" s="84"/>
      <c r="FU449" s="84"/>
      <c r="FV449" s="84"/>
      <c r="FW449" s="84"/>
      <c r="FX449" s="84"/>
      <c r="FY449" s="84"/>
      <c r="FZ449" s="84"/>
      <c r="GA449" s="84"/>
      <c r="GB449" s="84"/>
      <c r="GC449" s="84"/>
      <c r="GD449" s="84"/>
      <c r="GE449" s="84"/>
      <c r="GF449" s="84"/>
      <c r="GG449" s="84"/>
      <c r="GH449" s="84"/>
      <c r="GI449" s="84"/>
      <c r="GJ449" s="84"/>
      <c r="GK449" s="84"/>
      <c r="GL449" s="84"/>
      <c r="GM449" s="84"/>
      <c r="GN449" s="84"/>
      <c r="GO449" s="84"/>
      <c r="GP449" s="84"/>
      <c r="GQ449" s="84"/>
      <c r="GR449" s="84"/>
      <c r="GS449" s="84"/>
      <c r="GT449" s="84"/>
      <c r="GU449" s="84"/>
      <c r="GV449" s="84"/>
      <c r="GW449" s="84"/>
      <c r="GX449" s="84"/>
      <c r="GY449" s="84"/>
      <c r="GZ449" s="84"/>
      <c r="HA449" s="84"/>
      <c r="HB449" s="84"/>
      <c r="HC449" s="84"/>
      <c r="HD449" s="84"/>
      <c r="HE449" s="84"/>
      <c r="HF449" s="84"/>
      <c r="HG449" s="84"/>
      <c r="HH449" s="84"/>
      <c r="HI449" s="84"/>
      <c r="HJ449" s="84"/>
      <c r="HK449" s="84"/>
      <c r="HL449" s="84"/>
      <c r="HM449" s="84"/>
      <c r="HN449" s="84"/>
      <c r="HO449" s="84"/>
      <c r="HP449" s="84"/>
      <c r="HQ449" s="84"/>
      <c r="HR449" s="84"/>
      <c r="HS449" s="84"/>
      <c r="HT449" s="84"/>
      <c r="HU449" s="84"/>
      <c r="HV449" s="84"/>
      <c r="HW449" s="84"/>
      <c r="HX449" s="84"/>
      <c r="HY449" s="84"/>
      <c r="HZ449" s="84"/>
      <c r="IA449" s="84"/>
      <c r="IB449" s="84"/>
      <c r="IC449" s="84"/>
      <c r="ID449" s="84"/>
      <c r="IE449" s="84"/>
      <c r="IF449" s="84"/>
      <c r="IG449" s="84"/>
      <c r="IH449" s="84"/>
      <c r="II449" s="84"/>
      <c r="IJ449" s="84"/>
    </row>
    <row r="450" spans="1:244" s="81" customFormat="1" x14ac:dyDescent="0.2">
      <c r="A450" s="54"/>
      <c r="B450" s="40" t="s">
        <v>180</v>
      </c>
      <c r="C450" s="41" t="s">
        <v>55</v>
      </c>
      <c r="D450" s="24">
        <v>154</v>
      </c>
      <c r="E450" s="45">
        <v>1.7000000000000001E-2</v>
      </c>
      <c r="F450" s="55">
        <f>D450*E450</f>
        <v>2.6180000000000003</v>
      </c>
      <c r="G450" s="41" t="s">
        <v>55</v>
      </c>
      <c r="H450" s="41"/>
      <c r="I450" s="41"/>
      <c r="J450" s="41">
        <f>$D450*H450</f>
        <v>0</v>
      </c>
      <c r="K450" s="41">
        <f t="shared" si="135"/>
        <v>0</v>
      </c>
      <c r="L450" s="41">
        <f>J450+K450</f>
        <v>0</v>
      </c>
    </row>
    <row r="451" spans="1:244" ht="25.5" x14ac:dyDescent="0.2">
      <c r="A451" s="54"/>
      <c r="B451" s="44" t="s">
        <v>325</v>
      </c>
      <c r="C451" s="41" t="s">
        <v>55</v>
      </c>
      <c r="D451" s="41">
        <f>1</f>
        <v>1</v>
      </c>
      <c r="E451" s="45">
        <v>0.21</v>
      </c>
      <c r="F451" s="55">
        <f t="shared" si="134"/>
        <v>0.21</v>
      </c>
      <c r="G451" s="41" t="s">
        <v>55</v>
      </c>
      <c r="H451" s="41"/>
      <c r="I451" s="41"/>
      <c r="J451" s="41">
        <f t="shared" si="135"/>
        <v>0</v>
      </c>
      <c r="K451" s="41">
        <f t="shared" si="135"/>
        <v>0</v>
      </c>
      <c r="L451" s="41">
        <f t="shared" si="133"/>
        <v>0</v>
      </c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  <c r="DK451" s="81"/>
      <c r="DL451" s="81"/>
      <c r="DM451" s="81"/>
      <c r="DN451" s="81"/>
      <c r="DO451" s="81"/>
      <c r="DP451" s="81"/>
      <c r="DQ451" s="81"/>
      <c r="DR451" s="81"/>
      <c r="DS451" s="81"/>
      <c r="DT451" s="81"/>
      <c r="DU451" s="81"/>
      <c r="DV451" s="81"/>
      <c r="DW451" s="81"/>
      <c r="DX451" s="81"/>
      <c r="DY451" s="81"/>
      <c r="DZ451" s="81"/>
      <c r="EA451" s="81"/>
      <c r="EB451" s="81"/>
      <c r="EC451" s="81"/>
      <c r="ED451" s="81"/>
      <c r="EE451" s="81"/>
      <c r="EF451" s="81"/>
      <c r="EG451" s="81"/>
      <c r="EH451" s="81"/>
      <c r="EI451" s="81"/>
      <c r="EJ451" s="81"/>
      <c r="EK451" s="81"/>
      <c r="EL451" s="81"/>
      <c r="EM451" s="81"/>
      <c r="EN451" s="81"/>
      <c r="EO451" s="81"/>
      <c r="EP451" s="81"/>
      <c r="EQ451" s="81"/>
      <c r="ER451" s="81"/>
      <c r="ES451" s="81"/>
      <c r="ET451" s="81"/>
      <c r="EU451" s="81"/>
      <c r="EV451" s="81"/>
      <c r="EW451" s="81"/>
      <c r="EX451" s="81"/>
      <c r="EY451" s="81"/>
      <c r="EZ451" s="81"/>
      <c r="FA451" s="81"/>
      <c r="FB451" s="81"/>
      <c r="FC451" s="81"/>
      <c r="FD451" s="81"/>
      <c r="FE451" s="81"/>
      <c r="FF451" s="81"/>
      <c r="FG451" s="81"/>
      <c r="FH451" s="81"/>
      <c r="FI451" s="81"/>
      <c r="FJ451" s="81"/>
      <c r="FK451" s="81"/>
      <c r="FL451" s="81"/>
      <c r="FM451" s="81"/>
      <c r="FN451" s="81"/>
      <c r="FO451" s="81"/>
      <c r="FP451" s="81"/>
      <c r="FQ451" s="81"/>
      <c r="FR451" s="81"/>
      <c r="FS451" s="81"/>
      <c r="FT451" s="81"/>
      <c r="FU451" s="81"/>
      <c r="FV451" s="81"/>
      <c r="FW451" s="81"/>
      <c r="FX451" s="81"/>
      <c r="FY451" s="81"/>
      <c r="FZ451" s="81"/>
      <c r="GA451" s="81"/>
      <c r="GB451" s="81"/>
      <c r="GC451" s="81"/>
      <c r="GD451" s="81"/>
      <c r="GE451" s="81"/>
      <c r="GF451" s="81"/>
      <c r="GG451" s="81"/>
      <c r="GH451" s="81"/>
      <c r="GI451" s="81"/>
      <c r="GJ451" s="81"/>
      <c r="GK451" s="81"/>
      <c r="GL451" s="81"/>
      <c r="GM451" s="81"/>
      <c r="GN451" s="81"/>
      <c r="GO451" s="81"/>
      <c r="GP451" s="81"/>
      <c r="GQ451" s="81"/>
      <c r="GR451" s="81"/>
      <c r="GS451" s="81"/>
      <c r="GT451" s="81"/>
      <c r="GU451" s="81"/>
      <c r="GV451" s="81"/>
      <c r="GW451" s="81"/>
      <c r="GX451" s="81"/>
      <c r="GY451" s="81"/>
      <c r="GZ451" s="81"/>
      <c r="HA451" s="81"/>
      <c r="HB451" s="81"/>
      <c r="HC451" s="81"/>
      <c r="HD451" s="81"/>
      <c r="HE451" s="81"/>
      <c r="HF451" s="81"/>
      <c r="HG451" s="81"/>
      <c r="HH451" s="81"/>
      <c r="HI451" s="81"/>
      <c r="HJ451" s="81"/>
      <c r="HK451" s="81"/>
      <c r="HL451" s="81"/>
      <c r="HM451" s="81"/>
      <c r="HN451" s="81"/>
      <c r="HO451" s="81"/>
      <c r="HP451" s="81"/>
      <c r="HQ451" s="81"/>
      <c r="HR451" s="81"/>
      <c r="HS451" s="81"/>
      <c r="HT451" s="81"/>
      <c r="HU451" s="81"/>
      <c r="HV451" s="81"/>
      <c r="HW451" s="81"/>
      <c r="HX451" s="81"/>
      <c r="HY451" s="81"/>
      <c r="HZ451" s="81"/>
      <c r="IA451" s="81"/>
      <c r="IB451" s="81"/>
      <c r="IC451" s="81"/>
      <c r="ID451" s="81"/>
      <c r="IE451" s="81"/>
      <c r="IF451" s="81"/>
      <c r="IG451" s="81"/>
      <c r="IH451" s="81"/>
      <c r="II451" s="81"/>
      <c r="IJ451" s="81"/>
    </row>
    <row r="452" spans="1:244" ht="38.25" x14ac:dyDescent="0.2">
      <c r="A452" s="18"/>
      <c r="B452" s="6" t="s">
        <v>166</v>
      </c>
      <c r="C452" s="12" t="s">
        <v>78</v>
      </c>
      <c r="D452" s="12">
        <v>45</v>
      </c>
      <c r="E452" s="12">
        <v>0.15</v>
      </c>
      <c r="F452" s="12">
        <f>D452*E452</f>
        <v>6.75</v>
      </c>
      <c r="G452" s="12" t="s">
        <v>79</v>
      </c>
      <c r="H452" s="11"/>
      <c r="I452" s="11"/>
      <c r="J452" s="11">
        <f>$F452*H452</f>
        <v>0</v>
      </c>
      <c r="K452" s="11">
        <f t="shared" si="135"/>
        <v>0</v>
      </c>
      <c r="L452" s="11">
        <f t="shared" si="133"/>
        <v>0</v>
      </c>
    </row>
    <row r="453" spans="1:244" x14ac:dyDescent="0.2">
      <c r="A453" s="18"/>
      <c r="B453" s="9"/>
      <c r="C453" s="12"/>
      <c r="D453" s="12"/>
      <c r="E453" s="12"/>
      <c r="F453" s="12"/>
      <c r="G453" s="12"/>
      <c r="H453" s="11"/>
      <c r="I453" s="11"/>
      <c r="J453" s="11"/>
      <c r="K453" s="11"/>
      <c r="L453" s="11"/>
    </row>
    <row r="454" spans="1:244" ht="25.5" x14ac:dyDescent="0.2">
      <c r="A454" s="54"/>
      <c r="B454" s="44" t="s">
        <v>317</v>
      </c>
      <c r="C454" s="41" t="s">
        <v>70</v>
      </c>
      <c r="D454" s="76">
        <f>D444</f>
        <v>33</v>
      </c>
      <c r="E454" s="45"/>
      <c r="F454" s="55"/>
      <c r="G454" s="41" t="s">
        <v>70</v>
      </c>
      <c r="H454" s="41"/>
      <c r="I454" s="41"/>
      <c r="J454" s="41">
        <f t="shared" ref="J454:K459" si="136">$D454*H454</f>
        <v>0</v>
      </c>
      <c r="K454" s="41">
        <f t="shared" si="136"/>
        <v>0</v>
      </c>
      <c r="L454" s="41">
        <f t="shared" ref="L454:L459" si="137">J454+K454</f>
        <v>0</v>
      </c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  <c r="DK454" s="81"/>
      <c r="DL454" s="81"/>
      <c r="DM454" s="81"/>
      <c r="DN454" s="81"/>
      <c r="DO454" s="81"/>
      <c r="DP454" s="81"/>
      <c r="DQ454" s="81"/>
      <c r="DR454" s="81"/>
      <c r="DS454" s="81"/>
      <c r="DT454" s="81"/>
      <c r="DU454" s="81"/>
      <c r="DV454" s="81"/>
      <c r="DW454" s="81"/>
      <c r="DX454" s="81"/>
      <c r="DY454" s="81"/>
      <c r="DZ454" s="81"/>
      <c r="EA454" s="81"/>
      <c r="EB454" s="81"/>
      <c r="EC454" s="81"/>
      <c r="ED454" s="81"/>
      <c r="EE454" s="81"/>
      <c r="EF454" s="81"/>
      <c r="EG454" s="81"/>
      <c r="EH454" s="81"/>
      <c r="EI454" s="81"/>
      <c r="EJ454" s="81"/>
      <c r="EK454" s="81"/>
      <c r="EL454" s="81"/>
      <c r="EM454" s="81"/>
      <c r="EN454" s="81"/>
      <c r="EO454" s="81"/>
      <c r="EP454" s="81"/>
      <c r="EQ454" s="81"/>
      <c r="ER454" s="81"/>
      <c r="ES454" s="81"/>
      <c r="ET454" s="81"/>
      <c r="EU454" s="81"/>
      <c r="EV454" s="81"/>
      <c r="EW454" s="81"/>
      <c r="EX454" s="81"/>
      <c r="EY454" s="81"/>
      <c r="EZ454" s="81"/>
      <c r="FA454" s="81"/>
      <c r="FB454" s="81"/>
      <c r="FC454" s="81"/>
      <c r="FD454" s="81"/>
      <c r="FE454" s="81"/>
      <c r="FF454" s="81"/>
      <c r="FG454" s="81"/>
      <c r="FH454" s="81"/>
      <c r="FI454" s="81"/>
      <c r="FJ454" s="81"/>
      <c r="FK454" s="81"/>
      <c r="FL454" s="81"/>
      <c r="FM454" s="81"/>
      <c r="FN454" s="81"/>
      <c r="FO454" s="81"/>
      <c r="FP454" s="81"/>
      <c r="FQ454" s="81"/>
      <c r="FR454" s="81"/>
      <c r="FS454" s="81"/>
      <c r="FT454" s="81"/>
      <c r="FU454" s="81"/>
      <c r="FV454" s="81"/>
      <c r="FW454" s="81"/>
      <c r="FX454" s="81"/>
      <c r="FY454" s="81"/>
      <c r="FZ454" s="81"/>
      <c r="GA454" s="81"/>
      <c r="GB454" s="81"/>
      <c r="GC454" s="81"/>
      <c r="GD454" s="81"/>
      <c r="GE454" s="81"/>
      <c r="GF454" s="81"/>
      <c r="GG454" s="81"/>
      <c r="GH454" s="81"/>
      <c r="GI454" s="81"/>
      <c r="GJ454" s="81"/>
      <c r="GK454" s="81"/>
      <c r="GL454" s="81"/>
      <c r="GM454" s="81"/>
      <c r="GN454" s="81"/>
      <c r="GO454" s="81"/>
      <c r="GP454" s="81"/>
      <c r="GQ454" s="81"/>
      <c r="GR454" s="81"/>
      <c r="GS454" s="81"/>
      <c r="GT454" s="81"/>
      <c r="GU454" s="81"/>
      <c r="GV454" s="81"/>
      <c r="GW454" s="81"/>
      <c r="GX454" s="81"/>
      <c r="GY454" s="81"/>
      <c r="GZ454" s="81"/>
      <c r="HA454" s="81"/>
      <c r="HB454" s="81"/>
      <c r="HC454" s="81"/>
      <c r="HD454" s="81"/>
      <c r="HE454" s="81"/>
      <c r="HF454" s="81"/>
      <c r="HG454" s="81"/>
      <c r="HH454" s="81"/>
      <c r="HI454" s="81"/>
      <c r="HJ454" s="81"/>
      <c r="HK454" s="81"/>
      <c r="HL454" s="81"/>
      <c r="HM454" s="81"/>
      <c r="HN454" s="81"/>
      <c r="HO454" s="81"/>
      <c r="HP454" s="81"/>
      <c r="HQ454" s="81"/>
      <c r="HR454" s="81"/>
      <c r="HS454" s="81"/>
      <c r="HT454" s="81"/>
      <c r="HU454" s="81"/>
      <c r="HV454" s="81"/>
      <c r="HW454" s="81"/>
      <c r="HX454" s="81"/>
      <c r="HY454" s="81"/>
      <c r="HZ454" s="81"/>
      <c r="IA454" s="81"/>
      <c r="IB454" s="81"/>
      <c r="IC454" s="81"/>
      <c r="ID454" s="81"/>
      <c r="IE454" s="81"/>
      <c r="IF454" s="81"/>
      <c r="IG454" s="81"/>
      <c r="IH454" s="81"/>
      <c r="II454" s="81"/>
      <c r="IJ454" s="81"/>
    </row>
    <row r="455" spans="1:244" ht="25.5" x14ac:dyDescent="0.2">
      <c r="A455" s="54"/>
      <c r="B455" s="44" t="s">
        <v>320</v>
      </c>
      <c r="C455" s="41" t="s">
        <v>70</v>
      </c>
      <c r="D455" s="76">
        <f>D445</f>
        <v>30</v>
      </c>
      <c r="E455" s="45"/>
      <c r="F455" s="41"/>
      <c r="G455" s="41" t="s">
        <v>70</v>
      </c>
      <c r="H455" s="41"/>
      <c r="I455" s="41"/>
      <c r="J455" s="41">
        <f t="shared" si="136"/>
        <v>0</v>
      </c>
      <c r="K455" s="41">
        <f t="shared" si="136"/>
        <v>0</v>
      </c>
      <c r="L455" s="41">
        <f t="shared" si="137"/>
        <v>0</v>
      </c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  <c r="DK455" s="81"/>
      <c r="DL455" s="81"/>
      <c r="DM455" s="81"/>
      <c r="DN455" s="81"/>
      <c r="DO455" s="81"/>
      <c r="DP455" s="81"/>
      <c r="DQ455" s="81"/>
      <c r="DR455" s="81"/>
      <c r="DS455" s="81"/>
      <c r="DT455" s="81"/>
      <c r="DU455" s="81"/>
      <c r="DV455" s="81"/>
      <c r="DW455" s="81"/>
      <c r="DX455" s="81"/>
      <c r="DY455" s="81"/>
      <c r="DZ455" s="81"/>
      <c r="EA455" s="81"/>
      <c r="EB455" s="81"/>
      <c r="EC455" s="81"/>
      <c r="ED455" s="81"/>
      <c r="EE455" s="81"/>
      <c r="EF455" s="81"/>
      <c r="EG455" s="81"/>
      <c r="EH455" s="81"/>
      <c r="EI455" s="81"/>
      <c r="EJ455" s="81"/>
      <c r="EK455" s="81"/>
      <c r="EL455" s="81"/>
      <c r="EM455" s="81"/>
      <c r="EN455" s="81"/>
      <c r="EO455" s="81"/>
      <c r="EP455" s="81"/>
      <c r="EQ455" s="81"/>
      <c r="ER455" s="81"/>
      <c r="ES455" s="81"/>
      <c r="ET455" s="81"/>
      <c r="EU455" s="81"/>
      <c r="EV455" s="81"/>
      <c r="EW455" s="81"/>
      <c r="EX455" s="81"/>
      <c r="EY455" s="81"/>
      <c r="EZ455" s="81"/>
      <c r="FA455" s="81"/>
      <c r="FB455" s="81"/>
      <c r="FC455" s="81"/>
      <c r="FD455" s="81"/>
      <c r="FE455" s="81"/>
      <c r="FF455" s="81"/>
      <c r="FG455" s="81"/>
      <c r="FH455" s="81"/>
      <c r="FI455" s="81"/>
      <c r="FJ455" s="81"/>
      <c r="FK455" s="81"/>
      <c r="FL455" s="81"/>
      <c r="FM455" s="81"/>
      <c r="FN455" s="81"/>
      <c r="FO455" s="81"/>
      <c r="FP455" s="81"/>
      <c r="FQ455" s="81"/>
      <c r="FR455" s="81"/>
      <c r="FS455" s="81"/>
      <c r="FT455" s="81"/>
      <c r="FU455" s="81"/>
      <c r="FV455" s="81"/>
      <c r="FW455" s="81"/>
      <c r="FX455" s="81"/>
      <c r="FY455" s="81"/>
      <c r="FZ455" s="81"/>
      <c r="GA455" s="81"/>
      <c r="GB455" s="81"/>
      <c r="GC455" s="81"/>
      <c r="GD455" s="81"/>
      <c r="GE455" s="81"/>
      <c r="GF455" s="81"/>
      <c r="GG455" s="81"/>
      <c r="GH455" s="81"/>
      <c r="GI455" s="81"/>
      <c r="GJ455" s="81"/>
      <c r="GK455" s="81"/>
      <c r="GL455" s="81"/>
      <c r="GM455" s="81"/>
      <c r="GN455" s="81"/>
      <c r="GO455" s="81"/>
      <c r="GP455" s="81"/>
      <c r="GQ455" s="81"/>
      <c r="GR455" s="81"/>
      <c r="GS455" s="81"/>
      <c r="GT455" s="81"/>
      <c r="GU455" s="81"/>
      <c r="GV455" s="81"/>
      <c r="GW455" s="81"/>
      <c r="GX455" s="81"/>
      <c r="GY455" s="81"/>
      <c r="GZ455" s="81"/>
      <c r="HA455" s="81"/>
      <c r="HB455" s="81"/>
      <c r="HC455" s="81"/>
      <c r="HD455" s="81"/>
      <c r="HE455" s="81"/>
      <c r="HF455" s="81"/>
      <c r="HG455" s="81"/>
      <c r="HH455" s="81"/>
      <c r="HI455" s="81"/>
      <c r="HJ455" s="81"/>
      <c r="HK455" s="81"/>
      <c r="HL455" s="81"/>
      <c r="HM455" s="81"/>
      <c r="HN455" s="81"/>
      <c r="HO455" s="81"/>
      <c r="HP455" s="81"/>
      <c r="HQ455" s="81"/>
      <c r="HR455" s="81"/>
      <c r="HS455" s="81"/>
      <c r="HT455" s="81"/>
      <c r="HU455" s="81"/>
      <c r="HV455" s="81"/>
      <c r="HW455" s="81"/>
      <c r="HX455" s="81"/>
      <c r="HY455" s="81"/>
      <c r="HZ455" s="81"/>
      <c r="IA455" s="81"/>
      <c r="IB455" s="81"/>
      <c r="IC455" s="81"/>
      <c r="ID455" s="81"/>
      <c r="IE455" s="81"/>
      <c r="IF455" s="81"/>
      <c r="IG455" s="81"/>
      <c r="IH455" s="81"/>
      <c r="II455" s="81"/>
      <c r="IJ455" s="81"/>
    </row>
    <row r="456" spans="1:244" x14ac:dyDescent="0.2">
      <c r="A456" s="61"/>
      <c r="B456" s="62" t="s">
        <v>444</v>
      </c>
      <c r="C456" s="26" t="s">
        <v>55</v>
      </c>
      <c r="D456" s="12">
        <v>14</v>
      </c>
      <c r="E456" s="12">
        <v>13.75</v>
      </c>
      <c r="F456" s="12">
        <f>D456*E456</f>
        <v>192.5</v>
      </c>
      <c r="G456" s="41" t="s">
        <v>55</v>
      </c>
      <c r="H456" s="41"/>
      <c r="I456" s="41"/>
      <c r="J456" s="41">
        <f t="shared" si="136"/>
        <v>0</v>
      </c>
      <c r="K456" s="41">
        <f t="shared" si="136"/>
        <v>0</v>
      </c>
      <c r="L456" s="41">
        <f t="shared" si="137"/>
        <v>0</v>
      </c>
    </row>
    <row r="457" spans="1:244" x14ac:dyDescent="0.2">
      <c r="A457" s="61"/>
      <c r="B457" s="62" t="s">
        <v>445</v>
      </c>
      <c r="C457" s="26" t="s">
        <v>55</v>
      </c>
      <c r="D457" s="12">
        <v>2</v>
      </c>
      <c r="E457" s="12">
        <v>7.4</v>
      </c>
      <c r="F457" s="12">
        <f>D457*E457</f>
        <v>14.8</v>
      </c>
      <c r="G457" s="41" t="s">
        <v>55</v>
      </c>
      <c r="H457" s="41"/>
      <c r="I457" s="41"/>
      <c r="J457" s="41">
        <f t="shared" si="136"/>
        <v>0</v>
      </c>
      <c r="K457" s="41">
        <f t="shared" si="136"/>
        <v>0</v>
      </c>
      <c r="L457" s="41">
        <f t="shared" si="137"/>
        <v>0</v>
      </c>
    </row>
    <row r="458" spans="1:244" x14ac:dyDescent="0.2">
      <c r="A458" s="61"/>
      <c r="B458" s="62" t="s">
        <v>446</v>
      </c>
      <c r="C458" s="26" t="s">
        <v>55</v>
      </c>
      <c r="D458" s="12">
        <v>8</v>
      </c>
      <c r="E458" s="12">
        <v>4.5</v>
      </c>
      <c r="F458" s="12">
        <f>D458*E458</f>
        <v>36</v>
      </c>
      <c r="G458" s="41" t="s">
        <v>55</v>
      </c>
      <c r="H458" s="41"/>
      <c r="I458" s="41"/>
      <c r="J458" s="41">
        <f t="shared" si="136"/>
        <v>0</v>
      </c>
      <c r="K458" s="41">
        <f t="shared" si="136"/>
        <v>0</v>
      </c>
      <c r="L458" s="41">
        <f t="shared" si="137"/>
        <v>0</v>
      </c>
    </row>
    <row r="459" spans="1:244" x14ac:dyDescent="0.2">
      <c r="A459" s="61"/>
      <c r="B459" s="62" t="s">
        <v>447</v>
      </c>
      <c r="C459" s="26" t="s">
        <v>55</v>
      </c>
      <c r="D459" s="12">
        <v>2</v>
      </c>
      <c r="E459" s="12">
        <v>4.4000000000000004</v>
      </c>
      <c r="F459" s="12">
        <f>D459*E459</f>
        <v>8.8000000000000007</v>
      </c>
      <c r="G459" s="41" t="s">
        <v>55</v>
      </c>
      <c r="H459" s="41"/>
      <c r="I459" s="41"/>
      <c r="J459" s="41">
        <f t="shared" si="136"/>
        <v>0</v>
      </c>
      <c r="K459" s="41">
        <f t="shared" si="136"/>
        <v>0</v>
      </c>
      <c r="L459" s="41">
        <f t="shared" si="137"/>
        <v>0</v>
      </c>
    </row>
    <row r="460" spans="1:244" x14ac:dyDescent="0.2">
      <c r="A460" s="61"/>
      <c r="B460" s="62"/>
      <c r="C460" s="26"/>
      <c r="D460" s="12"/>
      <c r="E460" s="12"/>
      <c r="F460" s="12"/>
      <c r="G460" s="41"/>
      <c r="H460" s="41"/>
      <c r="I460" s="41"/>
      <c r="J460" s="41"/>
      <c r="K460" s="41"/>
      <c r="L460" s="41"/>
    </row>
    <row r="461" spans="1:244" x14ac:dyDescent="0.2">
      <c r="A461" s="18"/>
      <c r="B461" s="9" t="s">
        <v>81</v>
      </c>
      <c r="C461" s="12" t="s">
        <v>73</v>
      </c>
      <c r="D461" s="12">
        <f>24</f>
        <v>24</v>
      </c>
      <c r="E461" s="12"/>
      <c r="F461" s="12"/>
      <c r="G461" s="12" t="s">
        <v>73</v>
      </c>
      <c r="H461" s="11"/>
      <c r="I461" s="11"/>
      <c r="J461" s="11"/>
      <c r="K461" s="11">
        <f>$D461*I461</f>
        <v>0</v>
      </c>
      <c r="L461" s="11">
        <f>J461+K461</f>
        <v>0</v>
      </c>
    </row>
    <row r="462" spans="1:244" x14ac:dyDescent="0.2">
      <c r="B462" s="2"/>
      <c r="D462" s="1"/>
      <c r="E462" s="1"/>
      <c r="F462" s="1"/>
      <c r="G462" s="1"/>
      <c r="L462" s="1"/>
    </row>
    <row r="463" spans="1:244" ht="15" x14ac:dyDescent="0.2">
      <c r="A463" s="63"/>
      <c r="B463" s="64" t="s">
        <v>85</v>
      </c>
      <c r="C463" s="41"/>
      <c r="D463" s="1"/>
      <c r="E463" s="67"/>
      <c r="F463" s="80">
        <f>CEILING(SUM(F432:F462),10)</f>
        <v>29450</v>
      </c>
      <c r="G463" s="65"/>
      <c r="H463" s="65"/>
      <c r="I463" s="65"/>
      <c r="J463" s="80">
        <f>CEILING(SUM(J432:J462),100)</f>
        <v>0</v>
      </c>
      <c r="K463" s="80">
        <f>CEILING(SUM(K432:K462),100)</f>
        <v>0</v>
      </c>
      <c r="L463" s="80">
        <f>J463+K463</f>
        <v>0</v>
      </c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6"/>
      <c r="CM463" s="66"/>
      <c r="CN463" s="66"/>
      <c r="CO463" s="66"/>
      <c r="CP463" s="66"/>
      <c r="CQ463" s="66"/>
      <c r="CR463" s="66"/>
      <c r="CS463" s="66"/>
      <c r="CT463" s="66"/>
      <c r="CU463" s="66"/>
      <c r="CV463" s="66"/>
      <c r="CW463" s="66"/>
      <c r="CX463" s="66"/>
      <c r="CY463" s="66"/>
      <c r="CZ463" s="66"/>
      <c r="DA463" s="66"/>
      <c r="DB463" s="66"/>
      <c r="DC463" s="66"/>
      <c r="DD463" s="66"/>
      <c r="DE463" s="66"/>
      <c r="DF463" s="66"/>
      <c r="DG463" s="66"/>
      <c r="DH463" s="66"/>
      <c r="DI463" s="66"/>
      <c r="DJ463" s="66"/>
      <c r="DK463" s="66"/>
      <c r="DL463" s="66"/>
      <c r="DM463" s="66"/>
      <c r="DN463" s="66"/>
      <c r="DO463" s="66"/>
      <c r="DP463" s="66"/>
      <c r="DQ463" s="66"/>
      <c r="DR463" s="66"/>
      <c r="DS463" s="66"/>
      <c r="DT463" s="66"/>
      <c r="DU463" s="66"/>
      <c r="DV463" s="66"/>
      <c r="DW463" s="66"/>
      <c r="DX463" s="66"/>
      <c r="DY463" s="66"/>
      <c r="DZ463" s="66"/>
      <c r="EA463" s="66"/>
      <c r="EB463" s="66"/>
      <c r="EC463" s="66"/>
      <c r="ED463" s="66"/>
      <c r="EE463" s="66"/>
      <c r="EF463" s="66"/>
      <c r="EG463" s="66"/>
      <c r="EH463" s="66"/>
      <c r="EI463" s="66"/>
      <c r="EJ463" s="66"/>
      <c r="EK463" s="66"/>
      <c r="EL463" s="66"/>
      <c r="EM463" s="66"/>
      <c r="EN463" s="66"/>
      <c r="EO463" s="66"/>
      <c r="EP463" s="66"/>
      <c r="EQ463" s="66"/>
      <c r="ER463" s="66"/>
      <c r="ES463" s="66"/>
      <c r="ET463" s="66"/>
      <c r="EU463" s="66"/>
      <c r="EV463" s="66"/>
      <c r="EW463" s="66"/>
      <c r="EX463" s="66"/>
      <c r="EY463" s="66"/>
      <c r="EZ463" s="66"/>
      <c r="FA463" s="66"/>
      <c r="FB463" s="66"/>
      <c r="FC463" s="66"/>
      <c r="FD463" s="66"/>
      <c r="FE463" s="66"/>
      <c r="FF463" s="66"/>
      <c r="FG463" s="66"/>
      <c r="FH463" s="66"/>
      <c r="FI463" s="66"/>
      <c r="FJ463" s="66"/>
      <c r="FK463" s="66"/>
      <c r="FL463" s="66"/>
      <c r="FM463" s="66"/>
      <c r="FN463" s="66"/>
      <c r="FO463" s="66"/>
      <c r="FP463" s="66"/>
      <c r="FQ463" s="66"/>
      <c r="FR463" s="66"/>
      <c r="FS463" s="66"/>
      <c r="FT463" s="66"/>
      <c r="FU463" s="66"/>
      <c r="FV463" s="66"/>
      <c r="FW463" s="66"/>
      <c r="FX463" s="66"/>
      <c r="FY463" s="66"/>
      <c r="FZ463" s="66"/>
      <c r="GA463" s="66"/>
      <c r="GB463" s="66"/>
      <c r="GC463" s="66"/>
      <c r="GD463" s="66"/>
      <c r="GE463" s="66"/>
      <c r="GF463" s="66"/>
      <c r="GG463" s="66"/>
      <c r="GH463" s="66"/>
      <c r="GI463" s="66"/>
      <c r="GJ463" s="66"/>
      <c r="GK463" s="66"/>
      <c r="GL463" s="66"/>
      <c r="GM463" s="66"/>
      <c r="GN463" s="66"/>
      <c r="GO463" s="66"/>
      <c r="GP463" s="66"/>
      <c r="GQ463" s="66"/>
      <c r="GR463" s="66"/>
      <c r="GS463" s="66"/>
      <c r="GT463" s="66"/>
      <c r="GU463" s="66"/>
      <c r="GV463" s="66"/>
      <c r="GW463" s="66"/>
      <c r="GX463" s="66"/>
      <c r="GY463" s="66"/>
      <c r="GZ463" s="66"/>
      <c r="HA463" s="66"/>
      <c r="HB463" s="66"/>
      <c r="HC463" s="66"/>
      <c r="HD463" s="66"/>
      <c r="HE463" s="66"/>
      <c r="HF463" s="66"/>
      <c r="HG463" s="66"/>
      <c r="HH463" s="66"/>
      <c r="HI463" s="66"/>
      <c r="HJ463" s="66"/>
      <c r="HK463" s="66"/>
      <c r="HL463" s="66"/>
      <c r="HM463" s="66"/>
      <c r="HN463" s="66"/>
      <c r="HO463" s="66"/>
      <c r="HP463" s="66"/>
      <c r="HQ463" s="66"/>
      <c r="HR463" s="66"/>
      <c r="HS463" s="66"/>
      <c r="HT463" s="66"/>
      <c r="HU463" s="66"/>
      <c r="HV463" s="66"/>
      <c r="HW463" s="66"/>
      <c r="HX463" s="66"/>
      <c r="HY463" s="66"/>
      <c r="HZ463" s="66"/>
      <c r="IA463" s="66"/>
      <c r="IB463" s="66"/>
      <c r="IC463" s="66"/>
      <c r="ID463" s="66"/>
      <c r="IE463" s="66"/>
      <c r="IF463" s="66"/>
      <c r="IG463" s="66"/>
      <c r="IH463" s="66"/>
      <c r="II463" s="66"/>
      <c r="IJ463" s="66"/>
    </row>
    <row r="464" spans="1:244" x14ac:dyDescent="0.2">
      <c r="A464" s="18"/>
      <c r="B464" s="9"/>
      <c r="C464" s="12"/>
      <c r="D464" s="24"/>
      <c r="E464" s="12"/>
      <c r="F464" s="12"/>
      <c r="G464" s="12"/>
      <c r="H464" s="11"/>
      <c r="I464" s="11"/>
      <c r="J464" s="11"/>
      <c r="K464" s="11"/>
      <c r="L464" s="11"/>
    </row>
    <row r="465" spans="1:244" s="81" customFormat="1" ht="15.75" x14ac:dyDescent="0.2">
      <c r="A465" s="73" t="s">
        <v>17</v>
      </c>
      <c r="B465" s="74" t="str">
        <f>B6</f>
        <v>Ostatní výkony</v>
      </c>
      <c r="C465" s="14"/>
      <c r="D465" s="14"/>
      <c r="E465" s="14"/>
      <c r="F465" s="14"/>
      <c r="G465" s="14"/>
      <c r="H465" s="38"/>
      <c r="I465" s="38"/>
      <c r="J465" s="38"/>
      <c r="K465" s="38"/>
      <c r="L465" s="38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  <c r="HI465" s="37"/>
      <c r="HJ465" s="37"/>
      <c r="HK465" s="37"/>
      <c r="HL465" s="37"/>
      <c r="HM465" s="37"/>
      <c r="HN465" s="37"/>
      <c r="HO465" s="37"/>
      <c r="HP465" s="37"/>
      <c r="HQ465" s="37"/>
      <c r="HR465" s="37"/>
      <c r="HS465" s="37"/>
      <c r="HT465" s="37"/>
      <c r="HU465" s="37"/>
      <c r="HV465" s="37"/>
      <c r="HW465" s="37"/>
      <c r="HX465" s="37"/>
      <c r="HY465" s="37"/>
      <c r="HZ465" s="37"/>
      <c r="IA465" s="37"/>
      <c r="IB465" s="37"/>
      <c r="IC465" s="37"/>
      <c r="ID465" s="37"/>
      <c r="IE465" s="37"/>
      <c r="IF465" s="37"/>
      <c r="IG465" s="37"/>
      <c r="IH465" s="37"/>
      <c r="II465" s="37"/>
      <c r="IJ465" s="37"/>
    </row>
    <row r="466" spans="1:244" s="81" customFormat="1" x14ac:dyDescent="0.2">
      <c r="A466" s="54"/>
      <c r="B466" s="96"/>
      <c r="C466" s="41"/>
      <c r="D466" s="41"/>
      <c r="E466" s="45"/>
      <c r="F466" s="41"/>
      <c r="G466" s="41"/>
      <c r="H466" s="41"/>
      <c r="I466" s="41"/>
      <c r="J466" s="41"/>
      <c r="K466" s="41"/>
      <c r="L466" s="42"/>
    </row>
    <row r="467" spans="1:244" s="81" customFormat="1" x14ac:dyDescent="0.2">
      <c r="A467" s="54"/>
      <c r="B467" s="44" t="s">
        <v>171</v>
      </c>
      <c r="C467" s="41" t="s">
        <v>15</v>
      </c>
      <c r="D467" s="41">
        <v>1</v>
      </c>
      <c r="E467" s="45">
        <v>1400</v>
      </c>
      <c r="F467" s="41">
        <f>D467*E467</f>
        <v>1400</v>
      </c>
      <c r="G467" s="41" t="s">
        <v>76</v>
      </c>
      <c r="H467" s="41"/>
      <c r="I467" s="41"/>
      <c r="J467" s="41">
        <f>$F467*H467</f>
        <v>0</v>
      </c>
      <c r="K467" s="41">
        <f>$F467*I467</f>
        <v>0</v>
      </c>
      <c r="L467" s="41">
        <f>J467+K467</f>
        <v>0</v>
      </c>
    </row>
    <row r="468" spans="1:244" s="81" customFormat="1" x14ac:dyDescent="0.2">
      <c r="A468" s="54"/>
      <c r="B468" s="40"/>
      <c r="C468" s="41"/>
      <c r="D468" s="41"/>
      <c r="E468" s="45"/>
      <c r="F468" s="41"/>
      <c r="G468" s="41"/>
      <c r="H468" s="41"/>
      <c r="I468" s="41"/>
      <c r="J468" s="41"/>
      <c r="K468" s="41"/>
      <c r="L468" s="42"/>
    </row>
    <row r="469" spans="1:244" s="81" customFormat="1" x14ac:dyDescent="0.2">
      <c r="A469" s="54"/>
      <c r="B469" s="40" t="s">
        <v>172</v>
      </c>
      <c r="C469" s="41" t="s">
        <v>15</v>
      </c>
      <c r="D469" s="41">
        <v>1</v>
      </c>
      <c r="E469" s="45">
        <v>180</v>
      </c>
      <c r="F469" s="41">
        <f>D469*E469</f>
        <v>180</v>
      </c>
      <c r="G469" s="41" t="s">
        <v>76</v>
      </c>
      <c r="H469" s="41"/>
      <c r="I469" s="41"/>
      <c r="J469" s="41">
        <f>$F469*H469</f>
        <v>0</v>
      </c>
      <c r="K469" s="41">
        <f>$F469*I469</f>
        <v>0</v>
      </c>
      <c r="L469" s="41">
        <f>J469+K469</f>
        <v>0</v>
      </c>
    </row>
    <row r="470" spans="1:244" x14ac:dyDescent="0.2">
      <c r="A470" s="54"/>
      <c r="B470" s="40"/>
      <c r="C470" s="41"/>
      <c r="D470" s="41"/>
      <c r="E470" s="45"/>
      <c r="F470" s="41"/>
      <c r="G470" s="41"/>
      <c r="H470" s="41"/>
      <c r="I470" s="41"/>
      <c r="J470" s="41"/>
      <c r="K470" s="41"/>
      <c r="L470" s="42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  <c r="DK470" s="81"/>
      <c r="DL470" s="81"/>
      <c r="DM470" s="81"/>
      <c r="DN470" s="81"/>
      <c r="DO470" s="81"/>
      <c r="DP470" s="81"/>
      <c r="DQ470" s="81"/>
      <c r="DR470" s="81"/>
      <c r="DS470" s="81"/>
      <c r="DT470" s="81"/>
      <c r="DU470" s="81"/>
      <c r="DV470" s="81"/>
      <c r="DW470" s="81"/>
      <c r="DX470" s="81"/>
      <c r="DY470" s="81"/>
      <c r="DZ470" s="81"/>
      <c r="EA470" s="81"/>
      <c r="EB470" s="81"/>
      <c r="EC470" s="81"/>
      <c r="ED470" s="81"/>
      <c r="EE470" s="81"/>
      <c r="EF470" s="81"/>
      <c r="EG470" s="81"/>
      <c r="EH470" s="81"/>
      <c r="EI470" s="81"/>
      <c r="EJ470" s="81"/>
      <c r="EK470" s="81"/>
      <c r="EL470" s="81"/>
      <c r="EM470" s="81"/>
      <c r="EN470" s="81"/>
      <c r="EO470" s="81"/>
      <c r="EP470" s="81"/>
      <c r="EQ470" s="81"/>
      <c r="ER470" s="81"/>
      <c r="ES470" s="81"/>
      <c r="ET470" s="81"/>
      <c r="EU470" s="81"/>
      <c r="EV470" s="81"/>
      <c r="EW470" s="81"/>
      <c r="EX470" s="81"/>
      <c r="EY470" s="81"/>
      <c r="EZ470" s="81"/>
      <c r="FA470" s="81"/>
      <c r="FB470" s="81"/>
      <c r="FC470" s="81"/>
      <c r="FD470" s="81"/>
      <c r="FE470" s="81"/>
      <c r="FF470" s="81"/>
      <c r="FG470" s="81"/>
      <c r="FH470" s="81"/>
      <c r="FI470" s="81"/>
      <c r="FJ470" s="81"/>
      <c r="FK470" s="81"/>
      <c r="FL470" s="81"/>
      <c r="FM470" s="81"/>
      <c r="FN470" s="81"/>
      <c r="FO470" s="81"/>
      <c r="FP470" s="81"/>
      <c r="FQ470" s="81"/>
      <c r="FR470" s="81"/>
      <c r="FS470" s="81"/>
      <c r="FT470" s="81"/>
      <c r="FU470" s="81"/>
      <c r="FV470" s="81"/>
      <c r="FW470" s="81"/>
      <c r="FX470" s="81"/>
      <c r="FY470" s="81"/>
      <c r="FZ470" s="81"/>
      <c r="GA470" s="81"/>
      <c r="GB470" s="81"/>
      <c r="GC470" s="81"/>
      <c r="GD470" s="81"/>
      <c r="GE470" s="81"/>
      <c r="GF470" s="81"/>
      <c r="GG470" s="81"/>
      <c r="GH470" s="81"/>
      <c r="GI470" s="81"/>
      <c r="GJ470" s="81"/>
      <c r="GK470" s="81"/>
      <c r="GL470" s="81"/>
      <c r="GM470" s="81"/>
      <c r="GN470" s="81"/>
      <c r="GO470" s="81"/>
      <c r="GP470" s="81"/>
      <c r="GQ470" s="81"/>
      <c r="GR470" s="81"/>
      <c r="GS470" s="81"/>
      <c r="GT470" s="81"/>
      <c r="GU470" s="81"/>
      <c r="GV470" s="81"/>
      <c r="GW470" s="81"/>
      <c r="GX470" s="81"/>
      <c r="GY470" s="81"/>
      <c r="GZ470" s="81"/>
      <c r="HA470" s="81"/>
      <c r="HB470" s="81"/>
      <c r="HC470" s="81"/>
      <c r="HD470" s="81"/>
      <c r="HE470" s="81"/>
      <c r="HF470" s="81"/>
      <c r="HG470" s="81"/>
      <c r="HH470" s="81"/>
      <c r="HI470" s="81"/>
      <c r="HJ470" s="81"/>
      <c r="HK470" s="81"/>
      <c r="HL470" s="81"/>
      <c r="HM470" s="81"/>
      <c r="HN470" s="81"/>
      <c r="HO470" s="81"/>
      <c r="HP470" s="81"/>
      <c r="HQ470" s="81"/>
      <c r="HR470" s="81"/>
      <c r="HS470" s="81"/>
      <c r="HT470" s="81"/>
      <c r="HU470" s="81"/>
      <c r="HV470" s="81"/>
      <c r="HW470" s="81"/>
      <c r="HX470" s="81"/>
      <c r="HY470" s="81"/>
      <c r="HZ470" s="81"/>
      <c r="IA470" s="81"/>
      <c r="IB470" s="81"/>
      <c r="IC470" s="81"/>
      <c r="ID470" s="81"/>
      <c r="IE470" s="81"/>
      <c r="IF470" s="81"/>
      <c r="IG470" s="81"/>
      <c r="IH470" s="81"/>
      <c r="II470" s="81"/>
      <c r="IJ470" s="81"/>
    </row>
    <row r="471" spans="1:244" ht="14.25" x14ac:dyDescent="0.2">
      <c r="A471" s="18"/>
      <c r="B471" s="9" t="s">
        <v>168</v>
      </c>
      <c r="C471" s="12" t="s">
        <v>78</v>
      </c>
      <c r="D471" s="26">
        <v>30</v>
      </c>
      <c r="E471" s="12">
        <v>0.15</v>
      </c>
      <c r="F471" s="12">
        <f>D471*E471</f>
        <v>4.5</v>
      </c>
      <c r="G471" s="12" t="s">
        <v>79</v>
      </c>
      <c r="H471" s="11"/>
      <c r="I471" s="11"/>
      <c r="J471" s="11">
        <f>$F471*H471</f>
        <v>0</v>
      </c>
      <c r="K471" s="11">
        <f>$D471*I471</f>
        <v>0</v>
      </c>
      <c r="L471" s="11">
        <f>J471+K471</f>
        <v>0</v>
      </c>
    </row>
    <row r="472" spans="1:244" ht="25.5" x14ac:dyDescent="0.2">
      <c r="A472" s="18"/>
      <c r="B472" s="6" t="s">
        <v>167</v>
      </c>
      <c r="C472" s="12" t="s">
        <v>78</v>
      </c>
      <c r="D472" s="26">
        <v>25</v>
      </c>
      <c r="E472" s="12">
        <v>0.15</v>
      </c>
      <c r="F472" s="12">
        <f>D472*E472</f>
        <v>3.75</v>
      </c>
      <c r="G472" s="12" t="s">
        <v>79</v>
      </c>
      <c r="H472" s="11"/>
      <c r="I472" s="11"/>
      <c r="J472" s="11">
        <f>$F472*H472</f>
        <v>0</v>
      </c>
      <c r="K472" s="11">
        <f>$D472*I472</f>
        <v>0</v>
      </c>
      <c r="L472" s="11">
        <f>J472+K472</f>
        <v>0</v>
      </c>
    </row>
    <row r="473" spans="1:244" x14ac:dyDescent="0.2">
      <c r="A473" s="18"/>
      <c r="B473" s="9" t="s">
        <v>81</v>
      </c>
      <c r="C473" s="12" t="s">
        <v>73</v>
      </c>
      <c r="D473" s="12">
        <f>24</f>
        <v>24</v>
      </c>
      <c r="E473" s="12"/>
      <c r="F473" s="12"/>
      <c r="G473" s="12" t="s">
        <v>73</v>
      </c>
      <c r="H473" s="11"/>
      <c r="I473" s="11"/>
      <c r="J473" s="11"/>
      <c r="K473" s="11">
        <f>$D473*I473</f>
        <v>0</v>
      </c>
      <c r="L473" s="11">
        <f>J473+K473</f>
        <v>0</v>
      </c>
    </row>
    <row r="474" spans="1:244" x14ac:dyDescent="0.2">
      <c r="A474" s="18"/>
      <c r="B474" s="9" t="s">
        <v>82</v>
      </c>
      <c r="C474" s="12"/>
      <c r="D474" s="12"/>
      <c r="E474" s="12"/>
      <c r="F474" s="12"/>
      <c r="G474" s="12"/>
      <c r="H474" s="11"/>
      <c r="I474" s="11"/>
      <c r="J474" s="11"/>
      <c r="K474" s="11"/>
      <c r="L474" s="11"/>
    </row>
    <row r="475" spans="1:244" x14ac:dyDescent="0.2">
      <c r="A475" s="18"/>
      <c r="B475" s="9" t="s">
        <v>83</v>
      </c>
      <c r="C475" s="12" t="s">
        <v>73</v>
      </c>
      <c r="D475" s="12">
        <f>48</f>
        <v>48</v>
      </c>
      <c r="E475" s="12"/>
      <c r="F475" s="12"/>
      <c r="G475" s="12" t="s">
        <v>73</v>
      </c>
      <c r="H475" s="11"/>
      <c r="I475" s="11"/>
      <c r="J475" s="11"/>
      <c r="K475" s="11">
        <f>$D475*I475</f>
        <v>0</v>
      </c>
      <c r="L475" s="11">
        <f>J475+K475</f>
        <v>0</v>
      </c>
    </row>
    <row r="476" spans="1:244" x14ac:dyDescent="0.2">
      <c r="A476" s="18"/>
      <c r="B476" s="9"/>
      <c r="C476" s="12"/>
      <c r="D476" s="12"/>
      <c r="E476" s="12"/>
      <c r="F476" s="12"/>
      <c r="G476" s="12"/>
      <c r="H476" s="11"/>
      <c r="I476" s="11"/>
      <c r="J476" s="11"/>
      <c r="K476" s="11"/>
      <c r="L476" s="11"/>
    </row>
    <row r="477" spans="1:244" x14ac:dyDescent="0.2">
      <c r="A477" s="70"/>
      <c r="B477" s="71" t="s">
        <v>84</v>
      </c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  <c r="BX477" s="43"/>
      <c r="BY477" s="43"/>
      <c r="BZ477" s="43"/>
      <c r="CA477" s="43"/>
      <c r="CB477" s="43"/>
      <c r="CC477" s="43"/>
      <c r="CD477" s="43"/>
      <c r="CE477" s="43"/>
      <c r="CF477" s="43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43"/>
      <c r="CZ477" s="43"/>
      <c r="DA477" s="43"/>
      <c r="DB477" s="43"/>
      <c r="DC477" s="43"/>
      <c r="DD477" s="43"/>
      <c r="DE477" s="43"/>
      <c r="DF477" s="43"/>
      <c r="DG477" s="43"/>
      <c r="DH477" s="43"/>
      <c r="DI477" s="43"/>
      <c r="DJ477" s="43"/>
      <c r="DK477" s="43"/>
      <c r="DL477" s="43"/>
      <c r="DM477" s="43"/>
      <c r="DN477" s="43"/>
      <c r="DO477" s="43"/>
      <c r="DP477" s="43"/>
      <c r="DQ477" s="43"/>
      <c r="DR477" s="43"/>
      <c r="DS477" s="43"/>
      <c r="DT477" s="43"/>
      <c r="DU477" s="43"/>
      <c r="DV477" s="43"/>
      <c r="DW477" s="43"/>
      <c r="DX477" s="43"/>
      <c r="DY477" s="43"/>
      <c r="DZ477" s="43"/>
      <c r="EA477" s="43"/>
      <c r="EB477" s="43"/>
      <c r="EC477" s="43"/>
      <c r="ED477" s="43"/>
      <c r="EE477" s="43"/>
      <c r="EF477" s="43"/>
      <c r="EG477" s="43"/>
      <c r="EH477" s="43"/>
      <c r="EI477" s="43"/>
      <c r="EJ477" s="43"/>
      <c r="EK477" s="43"/>
      <c r="EL477" s="43"/>
      <c r="EM477" s="43"/>
      <c r="EN477" s="43"/>
      <c r="EO477" s="43"/>
      <c r="EP477" s="43"/>
      <c r="EQ477" s="43"/>
      <c r="ER477" s="43"/>
      <c r="ES477" s="43"/>
      <c r="ET477" s="43"/>
      <c r="EU477" s="43"/>
      <c r="EV477" s="43"/>
      <c r="EW477" s="43"/>
      <c r="EX477" s="43"/>
      <c r="EY477" s="43"/>
      <c r="EZ477" s="43"/>
      <c r="FA477" s="43"/>
      <c r="FB477" s="43"/>
      <c r="FC477" s="43"/>
      <c r="FD477" s="43"/>
      <c r="FE477" s="43"/>
      <c r="FF477" s="43"/>
      <c r="FG477" s="43"/>
      <c r="FH477" s="43"/>
      <c r="FI477" s="43"/>
      <c r="FJ477" s="43"/>
      <c r="FK477" s="43"/>
      <c r="FL477" s="43"/>
      <c r="FM477" s="43"/>
      <c r="FN477" s="43"/>
      <c r="FO477" s="43"/>
      <c r="FP477" s="43"/>
      <c r="FQ477" s="43"/>
      <c r="FR477" s="43"/>
      <c r="FS477" s="43"/>
      <c r="FT477" s="43"/>
      <c r="FU477" s="43"/>
      <c r="FV477" s="43"/>
      <c r="FW477" s="43"/>
      <c r="FX477" s="43"/>
      <c r="FY477" s="43"/>
      <c r="FZ477" s="43"/>
      <c r="GA477" s="43"/>
      <c r="GB477" s="43"/>
      <c r="GC477" s="43"/>
      <c r="GD477" s="43"/>
      <c r="GE477" s="43"/>
      <c r="GF477" s="43"/>
      <c r="GG477" s="43"/>
      <c r="GH477" s="43"/>
      <c r="GI477" s="43"/>
      <c r="GJ477" s="43"/>
      <c r="GK477" s="43"/>
      <c r="GL477" s="43"/>
      <c r="GM477" s="43"/>
      <c r="GN477" s="43"/>
      <c r="GO477" s="43"/>
      <c r="GP477" s="43"/>
      <c r="GQ477" s="43"/>
      <c r="GR477" s="43"/>
      <c r="GS477" s="43"/>
      <c r="GT477" s="43"/>
      <c r="GU477" s="43"/>
      <c r="GV477" s="43"/>
      <c r="GW477" s="43"/>
      <c r="GX477" s="43"/>
      <c r="GY477" s="43"/>
      <c r="GZ477" s="43"/>
      <c r="HA477" s="43"/>
      <c r="HB477" s="43"/>
      <c r="HC477" s="43"/>
      <c r="HD477" s="43"/>
      <c r="HE477" s="43"/>
      <c r="HF477" s="43"/>
      <c r="HG477" s="43"/>
      <c r="HH477" s="43"/>
      <c r="HI477" s="43"/>
      <c r="HJ477" s="43"/>
      <c r="HK477" s="43"/>
      <c r="HL477" s="43"/>
      <c r="HM477" s="43"/>
      <c r="HN477" s="43"/>
      <c r="HO477" s="43"/>
      <c r="HP477" s="43"/>
      <c r="HQ477" s="43"/>
      <c r="HR477" s="43"/>
      <c r="HS477" s="43"/>
      <c r="HT477" s="43"/>
      <c r="HU477" s="43"/>
      <c r="HV477" s="43"/>
      <c r="HW477" s="43"/>
      <c r="HX477" s="43"/>
      <c r="HY477" s="43"/>
      <c r="HZ477" s="43"/>
      <c r="IA477" s="43"/>
      <c r="IB477" s="43"/>
      <c r="IC477" s="43"/>
      <c r="ID477" s="43"/>
      <c r="IE477" s="43"/>
      <c r="IF477" s="43"/>
      <c r="IG477" s="43"/>
      <c r="IH477" s="43"/>
      <c r="II477" s="43"/>
      <c r="IJ477" s="43"/>
    </row>
    <row r="478" spans="1:244" x14ac:dyDescent="0.2">
      <c r="A478" s="70"/>
      <c r="B478" s="72" t="s">
        <v>170</v>
      </c>
      <c r="C478" s="47" t="s">
        <v>15</v>
      </c>
      <c r="D478" s="47">
        <v>1</v>
      </c>
      <c r="E478" s="47"/>
      <c r="F478" s="47"/>
      <c r="G478" s="47" t="s">
        <v>15</v>
      </c>
      <c r="H478" s="42"/>
      <c r="I478" s="42"/>
      <c r="J478" s="42">
        <v>0</v>
      </c>
      <c r="K478" s="42"/>
      <c r="L478" s="11">
        <f>J478+K478</f>
        <v>0</v>
      </c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43"/>
      <c r="BY478" s="43"/>
      <c r="BZ478" s="43"/>
      <c r="CA478" s="43"/>
      <c r="CB478" s="43"/>
      <c r="CC478" s="43"/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  <c r="EL478" s="43"/>
      <c r="EM478" s="43"/>
      <c r="EN478" s="43"/>
      <c r="EO478" s="43"/>
      <c r="EP478" s="43"/>
      <c r="EQ478" s="43"/>
      <c r="ER478" s="43"/>
      <c r="ES478" s="43"/>
      <c r="ET478" s="43"/>
      <c r="EU478" s="43"/>
      <c r="EV478" s="43"/>
      <c r="EW478" s="43"/>
      <c r="EX478" s="43"/>
      <c r="EY478" s="43"/>
      <c r="EZ478" s="43"/>
      <c r="FA478" s="43"/>
      <c r="FB478" s="43"/>
      <c r="FC478" s="43"/>
      <c r="FD478" s="43"/>
      <c r="FE478" s="43"/>
      <c r="FF478" s="43"/>
      <c r="FG478" s="43"/>
      <c r="FH478" s="43"/>
      <c r="FI478" s="43"/>
      <c r="FJ478" s="43"/>
      <c r="FK478" s="43"/>
      <c r="FL478" s="43"/>
      <c r="FM478" s="43"/>
      <c r="FN478" s="43"/>
      <c r="FO478" s="43"/>
      <c r="FP478" s="43"/>
      <c r="FQ478" s="43"/>
      <c r="FR478" s="43"/>
      <c r="FS478" s="43"/>
      <c r="FT478" s="43"/>
      <c r="FU478" s="43"/>
      <c r="FV478" s="43"/>
      <c r="FW478" s="43"/>
      <c r="FX478" s="43"/>
      <c r="FY478" s="43"/>
      <c r="FZ478" s="43"/>
      <c r="GA478" s="43"/>
      <c r="GB478" s="43"/>
      <c r="GC478" s="43"/>
      <c r="GD478" s="43"/>
      <c r="GE478" s="43"/>
      <c r="GF478" s="43"/>
      <c r="GG478" s="43"/>
      <c r="GH478" s="43"/>
      <c r="GI478" s="43"/>
      <c r="GJ478" s="43"/>
      <c r="GK478" s="43"/>
      <c r="GL478" s="43"/>
      <c r="GM478" s="43"/>
      <c r="GN478" s="43"/>
      <c r="GO478" s="43"/>
      <c r="GP478" s="43"/>
      <c r="GQ478" s="43"/>
      <c r="GR478" s="43"/>
      <c r="GS478" s="43"/>
      <c r="GT478" s="43"/>
      <c r="GU478" s="43"/>
      <c r="GV478" s="43"/>
      <c r="GW478" s="43"/>
      <c r="GX478" s="43"/>
      <c r="GY478" s="43"/>
      <c r="GZ478" s="43"/>
      <c r="HA478" s="43"/>
      <c r="HB478" s="43"/>
      <c r="HC478" s="43"/>
      <c r="HD478" s="43"/>
      <c r="HE478" s="43"/>
      <c r="HF478" s="43"/>
      <c r="HG478" s="43"/>
      <c r="HH478" s="43"/>
      <c r="HI478" s="43"/>
      <c r="HJ478" s="43"/>
      <c r="HK478" s="43"/>
      <c r="HL478" s="43"/>
      <c r="HM478" s="43"/>
      <c r="HN478" s="43"/>
      <c r="HO478" s="43"/>
      <c r="HP478" s="43"/>
      <c r="HQ478" s="43"/>
      <c r="HR478" s="43"/>
      <c r="HS478" s="43"/>
      <c r="HT478" s="43"/>
      <c r="HU478" s="43"/>
      <c r="HV478" s="43"/>
      <c r="HW478" s="43"/>
      <c r="HX478" s="43"/>
      <c r="HY478" s="43"/>
      <c r="HZ478" s="43"/>
      <c r="IA478" s="43"/>
      <c r="IB478" s="43"/>
      <c r="IC478" s="43"/>
      <c r="ID478" s="43"/>
      <c r="IE478" s="43"/>
      <c r="IF478" s="43"/>
      <c r="IG478" s="43"/>
      <c r="IH478" s="43"/>
      <c r="II478" s="43"/>
      <c r="IJ478" s="43"/>
    </row>
    <row r="479" spans="1:244" x14ac:dyDescent="0.2">
      <c r="A479" s="70"/>
      <c r="B479" s="72" t="s">
        <v>86</v>
      </c>
      <c r="C479" s="47" t="s">
        <v>15</v>
      </c>
      <c r="D479" s="47">
        <v>1</v>
      </c>
      <c r="E479" s="47"/>
      <c r="F479" s="47"/>
      <c r="G479" s="47" t="s">
        <v>15</v>
      </c>
      <c r="H479" s="42"/>
      <c r="I479" s="42"/>
      <c r="J479" s="42"/>
      <c r="K479" s="42">
        <v>0</v>
      </c>
      <c r="L479" s="11">
        <f>J479+K479</f>
        <v>0</v>
      </c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43"/>
      <c r="BY479" s="43"/>
      <c r="BZ479" s="43"/>
      <c r="CA479" s="43"/>
      <c r="CB479" s="43"/>
      <c r="CC479" s="43"/>
      <c r="CD479" s="43"/>
      <c r="CE479" s="43"/>
      <c r="CF479" s="43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  <c r="EL479" s="43"/>
      <c r="EM479" s="43"/>
      <c r="EN479" s="43"/>
      <c r="EO479" s="43"/>
      <c r="EP479" s="43"/>
      <c r="EQ479" s="43"/>
      <c r="ER479" s="43"/>
      <c r="ES479" s="43"/>
      <c r="ET479" s="43"/>
      <c r="EU479" s="43"/>
      <c r="EV479" s="43"/>
      <c r="EW479" s="43"/>
      <c r="EX479" s="43"/>
      <c r="EY479" s="43"/>
      <c r="EZ479" s="43"/>
      <c r="FA479" s="43"/>
      <c r="FB479" s="43"/>
      <c r="FC479" s="43"/>
      <c r="FD479" s="43"/>
      <c r="FE479" s="43"/>
      <c r="FF479" s="43"/>
      <c r="FG479" s="43"/>
      <c r="FH479" s="43"/>
      <c r="FI479" s="43"/>
      <c r="FJ479" s="43"/>
      <c r="FK479" s="43"/>
      <c r="FL479" s="43"/>
      <c r="FM479" s="43"/>
      <c r="FN479" s="43"/>
      <c r="FO479" s="43"/>
      <c r="FP479" s="43"/>
      <c r="FQ479" s="43"/>
      <c r="FR479" s="43"/>
      <c r="FS479" s="43"/>
      <c r="FT479" s="43"/>
      <c r="FU479" s="43"/>
      <c r="FV479" s="43"/>
      <c r="FW479" s="43"/>
      <c r="FX479" s="43"/>
      <c r="FY479" s="43"/>
      <c r="FZ479" s="43"/>
      <c r="GA479" s="43"/>
      <c r="GB479" s="43"/>
      <c r="GC479" s="43"/>
      <c r="GD479" s="43"/>
      <c r="GE479" s="43"/>
      <c r="GF479" s="43"/>
      <c r="GG479" s="43"/>
      <c r="GH479" s="43"/>
      <c r="GI479" s="43"/>
      <c r="GJ479" s="43"/>
      <c r="GK479" s="43"/>
      <c r="GL479" s="43"/>
      <c r="GM479" s="43"/>
      <c r="GN479" s="43"/>
      <c r="GO479" s="43"/>
      <c r="GP479" s="43"/>
      <c r="GQ479" s="43"/>
      <c r="GR479" s="43"/>
      <c r="GS479" s="43"/>
      <c r="GT479" s="43"/>
      <c r="GU479" s="43"/>
      <c r="GV479" s="43"/>
      <c r="GW479" s="43"/>
      <c r="GX479" s="43"/>
      <c r="GY479" s="43"/>
      <c r="GZ479" s="43"/>
      <c r="HA479" s="43"/>
      <c r="HB479" s="43"/>
      <c r="HC479" s="43"/>
      <c r="HD479" s="43"/>
      <c r="HE479" s="43"/>
      <c r="HF479" s="43"/>
      <c r="HG479" s="43"/>
      <c r="HH479" s="43"/>
      <c r="HI479" s="43"/>
      <c r="HJ479" s="43"/>
      <c r="HK479" s="43"/>
      <c r="HL479" s="43"/>
      <c r="HM479" s="43"/>
      <c r="HN479" s="43"/>
      <c r="HO479" s="43"/>
      <c r="HP479" s="43"/>
      <c r="HQ479" s="43"/>
      <c r="HR479" s="43"/>
      <c r="HS479" s="43"/>
      <c r="HT479" s="43"/>
      <c r="HU479" s="43"/>
      <c r="HV479" s="43"/>
      <c r="HW479" s="43"/>
      <c r="HX479" s="43"/>
      <c r="HY479" s="43"/>
      <c r="HZ479" s="43"/>
      <c r="IA479" s="43"/>
      <c r="IB479" s="43"/>
      <c r="IC479" s="43"/>
      <c r="ID479" s="43"/>
      <c r="IE479" s="43"/>
      <c r="IF479" s="43"/>
      <c r="IG479" s="43"/>
      <c r="IH479" s="43"/>
      <c r="II479" s="43"/>
      <c r="IJ479" s="43"/>
    </row>
    <row r="480" spans="1:244" x14ac:dyDescent="0.2">
      <c r="A480" s="54"/>
      <c r="B480" s="40"/>
      <c r="C480" s="41"/>
      <c r="D480" s="41"/>
      <c r="E480" s="45"/>
      <c r="F480" s="41"/>
      <c r="G480" s="45" t="s">
        <v>89</v>
      </c>
      <c r="H480" s="41"/>
      <c r="I480" s="41"/>
      <c r="J480" s="41"/>
      <c r="K480" s="41"/>
      <c r="L480" s="41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43"/>
      <c r="BY480" s="43"/>
      <c r="BZ480" s="43"/>
      <c r="CA480" s="43"/>
      <c r="CB480" s="43"/>
      <c r="CC480" s="43"/>
      <c r="CD480" s="43"/>
      <c r="CE480" s="43"/>
      <c r="CF480" s="43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  <c r="EL480" s="43"/>
      <c r="EM480" s="43"/>
      <c r="EN480" s="43"/>
      <c r="EO480" s="43"/>
      <c r="EP480" s="43"/>
      <c r="EQ480" s="43"/>
      <c r="ER480" s="43"/>
      <c r="ES480" s="43"/>
      <c r="ET480" s="43"/>
      <c r="EU480" s="43"/>
      <c r="EV480" s="43"/>
      <c r="EW480" s="43"/>
      <c r="EX480" s="43"/>
      <c r="EY480" s="43"/>
      <c r="EZ480" s="43"/>
      <c r="FA480" s="43"/>
      <c r="FB480" s="43"/>
      <c r="FC480" s="43"/>
      <c r="FD480" s="43"/>
      <c r="FE480" s="43"/>
      <c r="FF480" s="43"/>
      <c r="FG480" s="43"/>
      <c r="FH480" s="43"/>
      <c r="FI480" s="43"/>
      <c r="FJ480" s="43"/>
      <c r="FK480" s="43"/>
      <c r="FL480" s="43"/>
      <c r="FM480" s="43"/>
      <c r="FN480" s="43"/>
      <c r="FO480" s="43"/>
      <c r="FP480" s="43"/>
      <c r="FQ480" s="43"/>
      <c r="FR480" s="43"/>
      <c r="FS480" s="43"/>
      <c r="FT480" s="43"/>
      <c r="FU480" s="43"/>
      <c r="FV480" s="43"/>
      <c r="FW480" s="43"/>
      <c r="FX480" s="43"/>
      <c r="FY480" s="43"/>
      <c r="FZ480" s="43"/>
      <c r="GA480" s="43"/>
      <c r="GB480" s="43"/>
      <c r="GC480" s="43"/>
      <c r="GD480" s="43"/>
      <c r="GE480" s="43"/>
      <c r="GF480" s="43"/>
      <c r="GG480" s="43"/>
      <c r="GH480" s="43"/>
      <c r="GI480" s="43"/>
      <c r="GJ480" s="43"/>
      <c r="GK480" s="43"/>
      <c r="GL480" s="43"/>
      <c r="GM480" s="43"/>
      <c r="GN480" s="43"/>
      <c r="GO480" s="43"/>
      <c r="GP480" s="43"/>
      <c r="GQ480" s="43"/>
      <c r="GR480" s="43"/>
      <c r="GS480" s="43"/>
      <c r="GT480" s="43"/>
      <c r="GU480" s="43"/>
      <c r="GV480" s="43"/>
      <c r="GW480" s="43"/>
      <c r="GX480" s="43"/>
      <c r="GY480" s="43"/>
      <c r="GZ480" s="43"/>
      <c r="HA480" s="43"/>
      <c r="HB480" s="43"/>
      <c r="HC480" s="43"/>
      <c r="HD480" s="43"/>
      <c r="HE480" s="43"/>
      <c r="HF480" s="43"/>
      <c r="HG480" s="43"/>
      <c r="HH480" s="43"/>
      <c r="HI480" s="43"/>
      <c r="HJ480" s="43"/>
      <c r="HK480" s="43"/>
      <c r="HL480" s="43"/>
      <c r="HM480" s="43"/>
      <c r="HN480" s="43"/>
      <c r="HO480" s="43"/>
      <c r="HP480" s="43"/>
      <c r="HQ480" s="43"/>
      <c r="HR480" s="43"/>
      <c r="HS480" s="43"/>
      <c r="HT480" s="43"/>
      <c r="HU480" s="43"/>
      <c r="HV480" s="43"/>
      <c r="HW480" s="43"/>
      <c r="HX480" s="43"/>
      <c r="HY480" s="43"/>
      <c r="HZ480" s="43"/>
      <c r="IA480" s="43"/>
      <c r="IB480" s="43"/>
      <c r="IC480" s="43"/>
      <c r="ID480" s="43"/>
      <c r="IE480" s="43"/>
      <c r="IF480" s="43"/>
      <c r="IG480" s="43"/>
      <c r="IH480" s="43"/>
      <c r="II480" s="43"/>
      <c r="IJ480" s="43"/>
    </row>
    <row r="481" spans="1:244" x14ac:dyDescent="0.2">
      <c r="A481" s="18"/>
      <c r="B481" s="27" t="s">
        <v>21</v>
      </c>
      <c r="C481" s="26"/>
      <c r="D481" s="77"/>
      <c r="F481" s="26"/>
      <c r="G481" s="26"/>
      <c r="H481" s="26"/>
      <c r="I481" s="26"/>
      <c r="J481" s="26">
        <v>0</v>
      </c>
      <c r="K481" s="26"/>
      <c r="L481" s="26">
        <f>J481+K481</f>
        <v>0</v>
      </c>
    </row>
    <row r="482" spans="1:244" x14ac:dyDescent="0.2">
      <c r="A482" s="18"/>
      <c r="B482" s="27" t="s">
        <v>23</v>
      </c>
      <c r="C482" s="26"/>
      <c r="D482" s="26"/>
      <c r="F482" s="78"/>
      <c r="G482" s="26"/>
      <c r="H482" s="26"/>
      <c r="I482" s="26"/>
      <c r="J482" s="26"/>
      <c r="K482" s="26"/>
      <c r="L482" s="26">
        <f>J482+K482</f>
        <v>0</v>
      </c>
    </row>
    <row r="483" spans="1:244" x14ac:dyDescent="0.2">
      <c r="A483" s="18"/>
      <c r="B483" s="27" t="s">
        <v>25</v>
      </c>
      <c r="C483" s="26"/>
      <c r="D483" s="77"/>
      <c r="F483" s="28"/>
      <c r="G483" s="26"/>
      <c r="H483" s="26"/>
      <c r="I483" s="26"/>
      <c r="J483" s="26"/>
      <c r="K483" s="26">
        <v>0</v>
      </c>
      <c r="L483" s="26">
        <f>J483+K483</f>
        <v>0</v>
      </c>
    </row>
    <row r="484" spans="1:244" x14ac:dyDescent="0.2">
      <c r="A484" s="18"/>
      <c r="B484" s="27" t="s">
        <v>26</v>
      </c>
      <c r="C484" s="26"/>
      <c r="D484" s="77"/>
      <c r="F484" s="28"/>
      <c r="G484" s="26"/>
      <c r="H484" s="26"/>
      <c r="I484" s="26"/>
      <c r="J484" s="26"/>
      <c r="K484" s="26">
        <v>0</v>
      </c>
      <c r="L484" s="26">
        <f>J484+K484</f>
        <v>0</v>
      </c>
    </row>
    <row r="485" spans="1:244" x14ac:dyDescent="0.2">
      <c r="A485" s="18"/>
      <c r="B485" s="27" t="s">
        <v>28</v>
      </c>
      <c r="C485" s="26"/>
      <c r="D485" s="77"/>
      <c r="F485" s="25"/>
      <c r="G485" s="26"/>
      <c r="H485" s="26"/>
      <c r="I485" s="26"/>
      <c r="J485" s="26"/>
      <c r="K485" s="26">
        <f>ROUND(I485,0)</f>
        <v>0</v>
      </c>
      <c r="L485" s="26">
        <f>J485+K485</f>
        <v>0</v>
      </c>
    </row>
    <row r="486" spans="1:244" x14ac:dyDescent="0.2">
      <c r="A486" s="18"/>
      <c r="B486" s="44"/>
      <c r="C486" s="42"/>
      <c r="D486" s="47"/>
      <c r="E486" s="47"/>
      <c r="F486" s="42"/>
      <c r="G486" s="42"/>
      <c r="H486" s="41"/>
      <c r="I486" s="41"/>
      <c r="J486" s="42"/>
      <c r="K486" s="42"/>
      <c r="L486" s="41"/>
    </row>
    <row r="487" spans="1:244" ht="15" x14ac:dyDescent="0.2">
      <c r="A487" s="48"/>
      <c r="B487" s="49" t="s">
        <v>59</v>
      </c>
      <c r="C487" s="50"/>
      <c r="D487" s="51"/>
      <c r="E487" s="50"/>
      <c r="F487" s="65">
        <f>CEILING(SUM(F465:F485),10)</f>
        <v>1590</v>
      </c>
      <c r="G487" s="50"/>
      <c r="H487" s="50"/>
      <c r="I487" s="50"/>
      <c r="J487" s="50">
        <f>CEILING(SUM(J465:J486),100)</f>
        <v>0</v>
      </c>
      <c r="K487" s="50">
        <f>CEILING(SUM(K465:K486),100)</f>
        <v>0</v>
      </c>
      <c r="L487" s="80">
        <f>J487+K487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</row>
    <row r="488" spans="1:244" x14ac:dyDescent="0.2">
      <c r="A488" s="18"/>
      <c r="B488" s="9"/>
      <c r="C488" s="12"/>
      <c r="D488" s="12"/>
      <c r="E488" s="12"/>
      <c r="F488" s="12"/>
      <c r="G488" s="12"/>
      <c r="H488" s="11"/>
      <c r="I488" s="11"/>
      <c r="J488" s="11"/>
      <c r="K488" s="11"/>
      <c r="L488" s="11"/>
    </row>
    <row r="489" spans="1:244" ht="15.75" x14ac:dyDescent="0.2">
      <c r="A489" s="102" t="str">
        <f>A7</f>
        <v>IV</v>
      </c>
      <c r="B489" s="36" t="str">
        <f>B7</f>
        <v>Elektroinstalace včetně M+R,
dle samostatného projektu</v>
      </c>
      <c r="C489" s="68"/>
      <c r="D489" s="68"/>
      <c r="E489" s="68"/>
      <c r="F489" s="68"/>
      <c r="G489" s="68"/>
      <c r="H489" s="69"/>
      <c r="I489" s="69"/>
      <c r="J489" s="69"/>
      <c r="K489" s="69"/>
      <c r="L489" s="69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  <c r="BZ489" s="68"/>
      <c r="CA489" s="68"/>
      <c r="CB489" s="68"/>
      <c r="CC489" s="68"/>
      <c r="CD489" s="68"/>
      <c r="CE489" s="68"/>
      <c r="CF489" s="68"/>
      <c r="CG489" s="68"/>
      <c r="CH489" s="68"/>
      <c r="CI489" s="68"/>
      <c r="CJ489" s="68"/>
      <c r="CK489" s="68"/>
      <c r="CL489" s="68"/>
      <c r="CM489" s="68"/>
      <c r="CN489" s="68"/>
      <c r="CO489" s="68"/>
      <c r="CP489" s="68"/>
      <c r="CQ489" s="68"/>
      <c r="CR489" s="68"/>
      <c r="CS489" s="68"/>
      <c r="CT489" s="68"/>
      <c r="CU489" s="68"/>
      <c r="CV489" s="68"/>
      <c r="CW489" s="68"/>
      <c r="CX489" s="68"/>
      <c r="CY489" s="68"/>
      <c r="CZ489" s="68"/>
      <c r="DA489" s="68"/>
      <c r="DB489" s="68"/>
      <c r="DC489" s="68"/>
      <c r="DD489" s="68"/>
      <c r="DE489" s="68"/>
      <c r="DF489" s="68"/>
      <c r="DG489" s="68"/>
      <c r="DH489" s="68"/>
      <c r="DI489" s="68"/>
      <c r="DJ489" s="68"/>
      <c r="DK489" s="68"/>
      <c r="DL489" s="68"/>
      <c r="DM489" s="68"/>
      <c r="DN489" s="68"/>
      <c r="DO489" s="68"/>
      <c r="DP489" s="68"/>
      <c r="DQ489" s="68"/>
      <c r="DR489" s="68"/>
      <c r="DS489" s="68"/>
      <c r="DT489" s="68"/>
      <c r="DU489" s="68"/>
      <c r="DV489" s="68"/>
      <c r="DW489" s="68"/>
      <c r="DX489" s="68"/>
      <c r="DY489" s="68"/>
      <c r="DZ489" s="68"/>
      <c r="EA489" s="68"/>
      <c r="EB489" s="68"/>
      <c r="EC489" s="68"/>
      <c r="ED489" s="68"/>
      <c r="EE489" s="68"/>
      <c r="EF489" s="68"/>
      <c r="EG489" s="68"/>
      <c r="EH489" s="68"/>
      <c r="EI489" s="68"/>
      <c r="EJ489" s="68"/>
      <c r="EK489" s="68"/>
      <c r="EL489" s="68"/>
      <c r="EM489" s="68"/>
      <c r="EN489" s="68"/>
      <c r="EO489" s="68"/>
      <c r="EP489" s="68"/>
      <c r="EQ489" s="68"/>
      <c r="ER489" s="68"/>
      <c r="ES489" s="68"/>
      <c r="ET489" s="68"/>
      <c r="EU489" s="68"/>
      <c r="EV489" s="68"/>
      <c r="EW489" s="68"/>
      <c r="EX489" s="68"/>
      <c r="EY489" s="68"/>
      <c r="EZ489" s="68"/>
      <c r="FA489" s="68"/>
      <c r="FB489" s="68"/>
      <c r="FC489" s="68"/>
      <c r="FD489" s="68"/>
      <c r="FE489" s="68"/>
      <c r="FF489" s="68"/>
      <c r="FG489" s="68"/>
      <c r="FH489" s="68"/>
      <c r="FI489" s="68"/>
      <c r="FJ489" s="68"/>
      <c r="FK489" s="68"/>
      <c r="FL489" s="68"/>
      <c r="FM489" s="68"/>
      <c r="FN489" s="68"/>
      <c r="FO489" s="68"/>
      <c r="FP489" s="68"/>
      <c r="FQ489" s="68"/>
      <c r="FR489" s="68"/>
      <c r="FS489" s="68"/>
      <c r="FT489" s="68"/>
      <c r="FU489" s="68"/>
      <c r="FV489" s="68"/>
      <c r="FW489" s="68"/>
      <c r="FX489" s="68"/>
      <c r="FY489" s="68"/>
      <c r="FZ489" s="68"/>
      <c r="GA489" s="68"/>
      <c r="GB489" s="68"/>
      <c r="GC489" s="68"/>
      <c r="GD489" s="68"/>
      <c r="GE489" s="68"/>
      <c r="GF489" s="68"/>
      <c r="GG489" s="68"/>
      <c r="GH489" s="68"/>
      <c r="GI489" s="68"/>
      <c r="GJ489" s="68"/>
      <c r="GK489" s="68"/>
      <c r="GL489" s="68"/>
      <c r="GM489" s="68"/>
      <c r="GN489" s="68"/>
      <c r="GO489" s="68"/>
      <c r="GP489" s="68"/>
      <c r="GQ489" s="68"/>
      <c r="GR489" s="68"/>
      <c r="GS489" s="68"/>
      <c r="GT489" s="68"/>
      <c r="GU489" s="68"/>
      <c r="GV489" s="68"/>
      <c r="GW489" s="68"/>
      <c r="GX489" s="68"/>
      <c r="GY489" s="68"/>
      <c r="GZ489" s="68"/>
      <c r="HA489" s="68"/>
      <c r="HB489" s="68"/>
      <c r="HC489" s="68"/>
      <c r="HD489" s="68"/>
      <c r="HE489" s="68"/>
      <c r="HF489" s="68"/>
      <c r="HG489" s="68"/>
      <c r="HH489" s="68"/>
      <c r="HI489" s="68"/>
      <c r="HJ489" s="68"/>
      <c r="HK489" s="68"/>
      <c r="HL489" s="68"/>
      <c r="HM489" s="68"/>
      <c r="HN489" s="68"/>
      <c r="HO489" s="68"/>
      <c r="HP489" s="68"/>
      <c r="HQ489" s="68"/>
      <c r="HR489" s="68"/>
      <c r="HS489" s="68"/>
      <c r="HT489" s="68"/>
      <c r="HU489" s="68"/>
      <c r="HV489" s="68"/>
      <c r="HW489" s="68"/>
      <c r="HX489" s="68"/>
      <c r="HY489" s="68"/>
      <c r="HZ489" s="68"/>
      <c r="IA489" s="68"/>
      <c r="IB489" s="68"/>
      <c r="IC489" s="68"/>
      <c r="ID489" s="68"/>
      <c r="IE489" s="68"/>
      <c r="IF489" s="68"/>
      <c r="IG489" s="68"/>
      <c r="IH489" s="68"/>
      <c r="II489" s="68"/>
      <c r="IJ489" s="68"/>
    </row>
    <row r="490" spans="1:244" ht="15.75" x14ac:dyDescent="0.2">
      <c r="A490" s="35"/>
      <c r="B490" s="36"/>
      <c r="C490" s="68"/>
      <c r="D490" s="68"/>
      <c r="E490" s="68"/>
      <c r="F490" s="68"/>
      <c r="G490" s="68"/>
      <c r="H490" s="69"/>
      <c r="I490" s="69"/>
      <c r="J490" s="69"/>
      <c r="K490" s="69"/>
      <c r="L490" s="69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  <c r="BZ490" s="68"/>
      <c r="CA490" s="68"/>
      <c r="CB490" s="68"/>
      <c r="CC490" s="68"/>
      <c r="CD490" s="68"/>
      <c r="CE490" s="68"/>
      <c r="CF490" s="68"/>
      <c r="CG490" s="68"/>
      <c r="CH490" s="68"/>
      <c r="CI490" s="68"/>
      <c r="CJ490" s="68"/>
      <c r="CK490" s="68"/>
      <c r="CL490" s="68"/>
      <c r="CM490" s="68"/>
      <c r="CN490" s="68"/>
      <c r="CO490" s="68"/>
      <c r="CP490" s="68"/>
      <c r="CQ490" s="68"/>
      <c r="CR490" s="68"/>
      <c r="CS490" s="68"/>
      <c r="CT490" s="68"/>
      <c r="CU490" s="68"/>
      <c r="CV490" s="68"/>
      <c r="CW490" s="68"/>
      <c r="CX490" s="68"/>
      <c r="CY490" s="68"/>
      <c r="CZ490" s="68"/>
      <c r="DA490" s="68"/>
      <c r="DB490" s="68"/>
      <c r="DC490" s="68"/>
      <c r="DD490" s="68"/>
      <c r="DE490" s="68"/>
      <c r="DF490" s="68"/>
      <c r="DG490" s="68"/>
      <c r="DH490" s="68"/>
      <c r="DI490" s="68"/>
      <c r="DJ490" s="68"/>
      <c r="DK490" s="68"/>
      <c r="DL490" s="68"/>
      <c r="DM490" s="68"/>
      <c r="DN490" s="68"/>
      <c r="DO490" s="68"/>
      <c r="DP490" s="68"/>
      <c r="DQ490" s="68"/>
      <c r="DR490" s="68"/>
      <c r="DS490" s="68"/>
      <c r="DT490" s="68"/>
      <c r="DU490" s="68"/>
      <c r="DV490" s="68"/>
      <c r="DW490" s="68"/>
      <c r="DX490" s="68"/>
      <c r="DY490" s="68"/>
      <c r="DZ490" s="68"/>
      <c r="EA490" s="68"/>
      <c r="EB490" s="68"/>
      <c r="EC490" s="68"/>
      <c r="ED490" s="68"/>
      <c r="EE490" s="68"/>
      <c r="EF490" s="68"/>
      <c r="EG490" s="68"/>
      <c r="EH490" s="68"/>
      <c r="EI490" s="68"/>
      <c r="EJ490" s="68"/>
      <c r="EK490" s="68"/>
      <c r="EL490" s="68"/>
      <c r="EM490" s="68"/>
      <c r="EN490" s="68"/>
      <c r="EO490" s="68"/>
      <c r="EP490" s="68"/>
      <c r="EQ490" s="68"/>
      <c r="ER490" s="68"/>
      <c r="ES490" s="68"/>
      <c r="ET490" s="68"/>
      <c r="EU490" s="68"/>
      <c r="EV490" s="68"/>
      <c r="EW490" s="68"/>
      <c r="EX490" s="68"/>
      <c r="EY490" s="68"/>
      <c r="EZ490" s="68"/>
      <c r="FA490" s="68"/>
      <c r="FB490" s="68"/>
      <c r="FC490" s="68"/>
      <c r="FD490" s="68"/>
      <c r="FE490" s="68"/>
      <c r="FF490" s="68"/>
      <c r="FG490" s="68"/>
      <c r="FH490" s="68"/>
      <c r="FI490" s="68"/>
      <c r="FJ490" s="68"/>
      <c r="FK490" s="68"/>
      <c r="FL490" s="68"/>
      <c r="FM490" s="68"/>
      <c r="FN490" s="68"/>
      <c r="FO490" s="68"/>
      <c r="FP490" s="68"/>
      <c r="FQ490" s="68"/>
      <c r="FR490" s="68"/>
      <c r="FS490" s="68"/>
      <c r="FT490" s="68"/>
      <c r="FU490" s="68"/>
      <c r="FV490" s="68"/>
      <c r="FW490" s="68"/>
      <c r="FX490" s="68"/>
      <c r="FY490" s="68"/>
      <c r="FZ490" s="68"/>
      <c r="GA490" s="68"/>
      <c r="GB490" s="68"/>
      <c r="GC490" s="68"/>
      <c r="GD490" s="68"/>
      <c r="GE490" s="68"/>
      <c r="GF490" s="68"/>
      <c r="GG490" s="68"/>
      <c r="GH490" s="68"/>
      <c r="GI490" s="68"/>
      <c r="GJ490" s="68"/>
      <c r="GK490" s="68"/>
      <c r="GL490" s="68"/>
      <c r="GM490" s="68"/>
      <c r="GN490" s="68"/>
      <c r="GO490" s="68"/>
      <c r="GP490" s="68"/>
      <c r="GQ490" s="68"/>
      <c r="GR490" s="68"/>
      <c r="GS490" s="68"/>
      <c r="GT490" s="68"/>
      <c r="GU490" s="68"/>
      <c r="GV490" s="68"/>
      <c r="GW490" s="68"/>
      <c r="GX490" s="68"/>
      <c r="GY490" s="68"/>
      <c r="GZ490" s="68"/>
      <c r="HA490" s="68"/>
      <c r="HB490" s="68"/>
      <c r="HC490" s="68"/>
      <c r="HD490" s="68"/>
      <c r="HE490" s="68"/>
      <c r="HF490" s="68"/>
      <c r="HG490" s="68"/>
      <c r="HH490" s="68"/>
      <c r="HI490" s="68"/>
      <c r="HJ490" s="68"/>
      <c r="HK490" s="68"/>
      <c r="HL490" s="68"/>
      <c r="HM490" s="68"/>
      <c r="HN490" s="68"/>
      <c r="HO490" s="68"/>
      <c r="HP490" s="68"/>
      <c r="HQ490" s="68"/>
      <c r="HR490" s="68"/>
      <c r="HS490" s="68"/>
      <c r="HT490" s="68"/>
      <c r="HU490" s="68"/>
      <c r="HV490" s="68"/>
      <c r="HW490" s="68"/>
      <c r="HX490" s="68"/>
      <c r="HY490" s="68"/>
      <c r="HZ490" s="68"/>
      <c r="IA490" s="68"/>
      <c r="IB490" s="68"/>
      <c r="IC490" s="68"/>
      <c r="ID490" s="68"/>
      <c r="IE490" s="68"/>
      <c r="IF490" s="68"/>
      <c r="IG490" s="68"/>
      <c r="IH490" s="68"/>
      <c r="II490" s="68"/>
      <c r="IJ490" s="68"/>
    </row>
    <row r="491" spans="1:244" ht="15.75" x14ac:dyDescent="0.2">
      <c r="A491" s="106" t="str">
        <f>A8</f>
        <v>V</v>
      </c>
      <c r="B491" s="36" t="str">
        <f>B8</f>
        <v>Mantinely - dodávka stavby</v>
      </c>
      <c r="C491" s="68"/>
      <c r="D491" s="68"/>
      <c r="E491" s="68"/>
      <c r="F491" s="68"/>
      <c r="G491" s="68"/>
      <c r="H491" s="69"/>
      <c r="I491" s="69"/>
      <c r="J491" s="69"/>
      <c r="K491" s="69"/>
      <c r="L491" s="69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  <c r="BZ491" s="68"/>
      <c r="CA491" s="68"/>
      <c r="CB491" s="68"/>
      <c r="CC491" s="68"/>
      <c r="CD491" s="68"/>
      <c r="CE491" s="68"/>
      <c r="CF491" s="68"/>
      <c r="CG491" s="68"/>
      <c r="CH491" s="68"/>
      <c r="CI491" s="68"/>
      <c r="CJ491" s="68"/>
      <c r="CK491" s="68"/>
      <c r="CL491" s="68"/>
      <c r="CM491" s="68"/>
      <c r="CN491" s="68"/>
      <c r="CO491" s="68"/>
      <c r="CP491" s="68"/>
      <c r="CQ491" s="68"/>
      <c r="CR491" s="68"/>
      <c r="CS491" s="68"/>
      <c r="CT491" s="68"/>
      <c r="CU491" s="68"/>
      <c r="CV491" s="68"/>
      <c r="CW491" s="68"/>
      <c r="CX491" s="68"/>
      <c r="CY491" s="68"/>
      <c r="CZ491" s="68"/>
      <c r="DA491" s="68"/>
      <c r="DB491" s="68"/>
      <c r="DC491" s="68"/>
      <c r="DD491" s="68"/>
      <c r="DE491" s="68"/>
      <c r="DF491" s="68"/>
      <c r="DG491" s="68"/>
      <c r="DH491" s="68"/>
      <c r="DI491" s="68"/>
      <c r="DJ491" s="68"/>
      <c r="DK491" s="68"/>
      <c r="DL491" s="68"/>
      <c r="DM491" s="68"/>
      <c r="DN491" s="68"/>
      <c r="DO491" s="68"/>
      <c r="DP491" s="68"/>
      <c r="DQ491" s="68"/>
      <c r="DR491" s="68"/>
      <c r="DS491" s="68"/>
      <c r="DT491" s="68"/>
      <c r="DU491" s="68"/>
      <c r="DV491" s="68"/>
      <c r="DW491" s="68"/>
      <c r="DX491" s="68"/>
      <c r="DY491" s="68"/>
      <c r="DZ491" s="68"/>
      <c r="EA491" s="68"/>
      <c r="EB491" s="68"/>
      <c r="EC491" s="68"/>
      <c r="ED491" s="68"/>
      <c r="EE491" s="68"/>
      <c r="EF491" s="68"/>
      <c r="EG491" s="68"/>
      <c r="EH491" s="68"/>
      <c r="EI491" s="68"/>
      <c r="EJ491" s="68"/>
      <c r="EK491" s="68"/>
      <c r="EL491" s="68"/>
      <c r="EM491" s="68"/>
      <c r="EN491" s="68"/>
      <c r="EO491" s="68"/>
      <c r="EP491" s="68"/>
      <c r="EQ491" s="68"/>
      <c r="ER491" s="68"/>
      <c r="ES491" s="68"/>
      <c r="ET491" s="68"/>
      <c r="EU491" s="68"/>
      <c r="EV491" s="68"/>
      <c r="EW491" s="68"/>
      <c r="EX491" s="68"/>
      <c r="EY491" s="68"/>
      <c r="EZ491" s="68"/>
      <c r="FA491" s="68"/>
      <c r="FB491" s="68"/>
      <c r="FC491" s="68"/>
      <c r="FD491" s="68"/>
      <c r="FE491" s="68"/>
      <c r="FF491" s="68"/>
      <c r="FG491" s="68"/>
      <c r="FH491" s="68"/>
      <c r="FI491" s="68"/>
      <c r="FJ491" s="68"/>
      <c r="FK491" s="68"/>
      <c r="FL491" s="68"/>
      <c r="FM491" s="68"/>
      <c r="FN491" s="68"/>
      <c r="FO491" s="68"/>
      <c r="FP491" s="68"/>
      <c r="FQ491" s="68"/>
      <c r="FR491" s="68"/>
      <c r="FS491" s="68"/>
      <c r="FT491" s="68"/>
      <c r="FU491" s="68"/>
      <c r="FV491" s="68"/>
      <c r="FW491" s="68"/>
      <c r="FX491" s="68"/>
      <c r="FY491" s="68"/>
      <c r="FZ491" s="68"/>
      <c r="GA491" s="68"/>
      <c r="GB491" s="68"/>
      <c r="GC491" s="68"/>
      <c r="GD491" s="68"/>
      <c r="GE491" s="68"/>
      <c r="GF491" s="68"/>
      <c r="GG491" s="68"/>
      <c r="GH491" s="68"/>
      <c r="GI491" s="68"/>
      <c r="GJ491" s="68"/>
      <c r="GK491" s="68"/>
      <c r="GL491" s="68"/>
      <c r="GM491" s="68"/>
      <c r="GN491" s="68"/>
      <c r="GO491" s="68"/>
      <c r="GP491" s="68"/>
      <c r="GQ491" s="68"/>
      <c r="GR491" s="68"/>
      <c r="GS491" s="68"/>
      <c r="GT491" s="68"/>
      <c r="GU491" s="68"/>
      <c r="GV491" s="68"/>
      <c r="GW491" s="68"/>
      <c r="GX491" s="68"/>
      <c r="GY491" s="68"/>
      <c r="GZ491" s="68"/>
      <c r="HA491" s="68"/>
      <c r="HB491" s="68"/>
      <c r="HC491" s="68"/>
      <c r="HD491" s="68"/>
      <c r="HE491" s="68"/>
      <c r="HF491" s="68"/>
      <c r="HG491" s="68"/>
      <c r="HH491" s="68"/>
      <c r="HI491" s="68"/>
      <c r="HJ491" s="68"/>
      <c r="HK491" s="68"/>
      <c r="HL491" s="68"/>
      <c r="HM491" s="68"/>
      <c r="HN491" s="68"/>
      <c r="HO491" s="68"/>
      <c r="HP491" s="68"/>
      <c r="HQ491" s="68"/>
      <c r="HR491" s="68"/>
      <c r="HS491" s="68"/>
      <c r="HT491" s="68"/>
      <c r="HU491" s="68"/>
      <c r="HV491" s="68"/>
      <c r="HW491" s="68"/>
      <c r="HX491" s="68"/>
      <c r="HY491" s="68"/>
      <c r="HZ491" s="68"/>
      <c r="IA491" s="68"/>
      <c r="IB491" s="68"/>
      <c r="IC491" s="68"/>
      <c r="ID491" s="68"/>
      <c r="IE491" s="68"/>
      <c r="IF491" s="68"/>
      <c r="IG491" s="68"/>
      <c r="IH491" s="68"/>
      <c r="II491" s="68"/>
      <c r="IJ491" s="68"/>
    </row>
    <row r="492" spans="1:244" ht="15.75" x14ac:dyDescent="0.2">
      <c r="A492" s="35"/>
      <c r="B492" s="36"/>
      <c r="C492" s="68"/>
      <c r="D492" s="68"/>
      <c r="E492" s="68"/>
      <c r="F492" s="68"/>
      <c r="G492" s="68"/>
      <c r="H492" s="69"/>
      <c r="I492" s="69"/>
      <c r="J492" s="69"/>
      <c r="K492" s="69"/>
      <c r="L492" s="69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  <c r="BZ492" s="68"/>
      <c r="CA492" s="68"/>
      <c r="CB492" s="68"/>
      <c r="CC492" s="68"/>
      <c r="CD492" s="68"/>
      <c r="CE492" s="68"/>
      <c r="CF492" s="68"/>
      <c r="CG492" s="68"/>
      <c r="CH492" s="68"/>
      <c r="CI492" s="68"/>
      <c r="CJ492" s="68"/>
      <c r="CK492" s="68"/>
      <c r="CL492" s="68"/>
      <c r="CM492" s="68"/>
      <c r="CN492" s="68"/>
      <c r="CO492" s="68"/>
      <c r="CP492" s="68"/>
      <c r="CQ492" s="68"/>
      <c r="CR492" s="68"/>
      <c r="CS492" s="68"/>
      <c r="CT492" s="68"/>
      <c r="CU492" s="68"/>
      <c r="CV492" s="68"/>
      <c r="CW492" s="68"/>
      <c r="CX492" s="68"/>
      <c r="CY492" s="68"/>
      <c r="CZ492" s="68"/>
      <c r="DA492" s="68"/>
      <c r="DB492" s="68"/>
      <c r="DC492" s="68"/>
      <c r="DD492" s="68"/>
      <c r="DE492" s="68"/>
      <c r="DF492" s="68"/>
      <c r="DG492" s="68"/>
      <c r="DH492" s="68"/>
      <c r="DI492" s="68"/>
      <c r="DJ492" s="68"/>
      <c r="DK492" s="68"/>
      <c r="DL492" s="68"/>
      <c r="DM492" s="68"/>
      <c r="DN492" s="68"/>
      <c r="DO492" s="68"/>
      <c r="DP492" s="68"/>
      <c r="DQ492" s="68"/>
      <c r="DR492" s="68"/>
      <c r="DS492" s="68"/>
      <c r="DT492" s="68"/>
      <c r="DU492" s="68"/>
      <c r="DV492" s="68"/>
      <c r="DW492" s="68"/>
      <c r="DX492" s="68"/>
      <c r="DY492" s="68"/>
      <c r="DZ492" s="68"/>
      <c r="EA492" s="68"/>
      <c r="EB492" s="68"/>
      <c r="EC492" s="68"/>
      <c r="ED492" s="68"/>
      <c r="EE492" s="68"/>
      <c r="EF492" s="68"/>
      <c r="EG492" s="68"/>
      <c r="EH492" s="68"/>
      <c r="EI492" s="68"/>
      <c r="EJ492" s="68"/>
      <c r="EK492" s="68"/>
      <c r="EL492" s="68"/>
      <c r="EM492" s="68"/>
      <c r="EN492" s="68"/>
      <c r="EO492" s="68"/>
      <c r="EP492" s="68"/>
      <c r="EQ492" s="68"/>
      <c r="ER492" s="68"/>
      <c r="ES492" s="68"/>
      <c r="ET492" s="68"/>
      <c r="EU492" s="68"/>
      <c r="EV492" s="68"/>
      <c r="EW492" s="68"/>
      <c r="EX492" s="68"/>
      <c r="EY492" s="68"/>
      <c r="EZ492" s="68"/>
      <c r="FA492" s="68"/>
      <c r="FB492" s="68"/>
      <c r="FC492" s="68"/>
      <c r="FD492" s="68"/>
      <c r="FE492" s="68"/>
      <c r="FF492" s="68"/>
      <c r="FG492" s="68"/>
      <c r="FH492" s="68"/>
      <c r="FI492" s="68"/>
      <c r="FJ492" s="68"/>
      <c r="FK492" s="68"/>
      <c r="FL492" s="68"/>
      <c r="FM492" s="68"/>
      <c r="FN492" s="68"/>
      <c r="FO492" s="68"/>
      <c r="FP492" s="68"/>
      <c r="FQ492" s="68"/>
      <c r="FR492" s="68"/>
      <c r="FS492" s="68"/>
      <c r="FT492" s="68"/>
      <c r="FU492" s="68"/>
      <c r="FV492" s="68"/>
      <c r="FW492" s="68"/>
      <c r="FX492" s="68"/>
      <c r="FY492" s="68"/>
      <c r="FZ492" s="68"/>
      <c r="GA492" s="68"/>
      <c r="GB492" s="68"/>
      <c r="GC492" s="68"/>
      <c r="GD492" s="68"/>
      <c r="GE492" s="68"/>
      <c r="GF492" s="68"/>
      <c r="GG492" s="68"/>
      <c r="GH492" s="68"/>
      <c r="GI492" s="68"/>
      <c r="GJ492" s="68"/>
      <c r="GK492" s="68"/>
      <c r="GL492" s="68"/>
      <c r="GM492" s="68"/>
      <c r="GN492" s="68"/>
      <c r="GO492" s="68"/>
      <c r="GP492" s="68"/>
      <c r="GQ492" s="68"/>
      <c r="GR492" s="68"/>
      <c r="GS492" s="68"/>
      <c r="GT492" s="68"/>
      <c r="GU492" s="68"/>
      <c r="GV492" s="68"/>
      <c r="GW492" s="68"/>
      <c r="GX492" s="68"/>
      <c r="GY492" s="68"/>
      <c r="GZ492" s="68"/>
      <c r="HA492" s="68"/>
      <c r="HB492" s="68"/>
      <c r="HC492" s="68"/>
      <c r="HD492" s="68"/>
      <c r="HE492" s="68"/>
      <c r="HF492" s="68"/>
      <c r="HG492" s="68"/>
      <c r="HH492" s="68"/>
      <c r="HI492" s="68"/>
      <c r="HJ492" s="68"/>
      <c r="HK492" s="68"/>
      <c r="HL492" s="68"/>
      <c r="HM492" s="68"/>
      <c r="HN492" s="68"/>
      <c r="HO492" s="68"/>
      <c r="HP492" s="68"/>
      <c r="HQ492" s="68"/>
      <c r="HR492" s="68"/>
      <c r="HS492" s="68"/>
      <c r="HT492" s="68"/>
      <c r="HU492" s="68"/>
      <c r="HV492" s="68"/>
      <c r="HW492" s="68"/>
      <c r="HX492" s="68"/>
      <c r="HY492" s="68"/>
      <c r="HZ492" s="68"/>
      <c r="IA492" s="68"/>
      <c r="IB492" s="68"/>
      <c r="IC492" s="68"/>
      <c r="ID492" s="68"/>
      <c r="IE492" s="68"/>
      <c r="IF492" s="68"/>
      <c r="IG492" s="68"/>
      <c r="IH492" s="68"/>
      <c r="II492" s="68"/>
      <c r="IJ492" s="68"/>
    </row>
    <row r="493" spans="1:244" x14ac:dyDescent="0.2">
      <c r="A493" s="18"/>
      <c r="B493" s="9"/>
      <c r="C493" s="15"/>
      <c r="D493" s="15"/>
      <c r="E493" s="15"/>
      <c r="F493" s="15"/>
      <c r="G493" s="15"/>
      <c r="H493" s="26"/>
      <c r="I493" s="26"/>
      <c r="J493" s="26"/>
      <c r="K493" s="26"/>
      <c r="L493" s="11"/>
    </row>
    <row r="494" spans="1:244" x14ac:dyDescent="0.2">
      <c r="A494" s="18"/>
      <c r="B494" s="9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1:244" x14ac:dyDescent="0.2">
      <c r="A495" s="18"/>
      <c r="B495" s="7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1:244" x14ac:dyDescent="0.2">
      <c r="A496" s="18"/>
      <c r="B496" s="7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1:11" x14ac:dyDescent="0.2">
      <c r="A497" s="18"/>
      <c r="B497" s="7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1:11" x14ac:dyDescent="0.2">
      <c r="A498" s="18"/>
      <c r="B498" s="7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1:11" x14ac:dyDescent="0.2">
      <c r="A499" s="18"/>
      <c r="B499" s="7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1:11" x14ac:dyDescent="0.2">
      <c r="A500" s="18"/>
      <c r="B500" s="7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1:11" x14ac:dyDescent="0.2">
      <c r="A501" s="18"/>
      <c r="B501" s="7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1:11" x14ac:dyDescent="0.2">
      <c r="A502" s="18"/>
      <c r="B502" s="7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1:11" x14ac:dyDescent="0.2">
      <c r="A503" s="18"/>
      <c r="B503" s="7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1:11" x14ac:dyDescent="0.2">
      <c r="A504" s="18"/>
      <c r="B504" s="7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1:11" x14ac:dyDescent="0.2">
      <c r="A505" s="18"/>
      <c r="B505" s="7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1:11" x14ac:dyDescent="0.2">
      <c r="A506" s="18"/>
      <c r="B506" s="7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1:11" x14ac:dyDescent="0.2">
      <c r="A507" s="18"/>
      <c r="B507" s="7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1:11" x14ac:dyDescent="0.2">
      <c r="A508" s="18"/>
      <c r="B508" s="7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1:11" x14ac:dyDescent="0.2">
      <c r="A509" s="18"/>
      <c r="B509" s="7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1:11" x14ac:dyDescent="0.2">
      <c r="A510" s="18"/>
      <c r="B510" s="7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1:11" x14ac:dyDescent="0.2">
      <c r="A511" s="18"/>
      <c r="B511" s="7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1:11" x14ac:dyDescent="0.2">
      <c r="A512" s="18"/>
      <c r="B512" s="7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1:11" x14ac:dyDescent="0.2">
      <c r="A513" s="18"/>
      <c r="B513" s="7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1:11" x14ac:dyDescent="0.2">
      <c r="A514" s="18"/>
      <c r="B514" s="7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1:11" x14ac:dyDescent="0.2">
      <c r="A515" s="18"/>
      <c r="B515" s="7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1:11" x14ac:dyDescent="0.2">
      <c r="A516" s="18"/>
      <c r="B516" s="7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1:11" x14ac:dyDescent="0.2">
      <c r="A517" s="18"/>
      <c r="B517" s="7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1:11" x14ac:dyDescent="0.2">
      <c r="A518" s="18"/>
      <c r="B518" s="7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1:11" x14ac:dyDescent="0.2">
      <c r="A519" s="18"/>
      <c r="B519" s="7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1:11" x14ac:dyDescent="0.2">
      <c r="A520" s="18"/>
      <c r="B520" s="7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1:11" x14ac:dyDescent="0.2">
      <c r="A521" s="18"/>
      <c r="B521" s="7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1:11" x14ac:dyDescent="0.2">
      <c r="A522" s="18"/>
      <c r="B522" s="7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1:11" x14ac:dyDescent="0.2">
      <c r="A523" s="18"/>
      <c r="B523" s="7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1:11" x14ac:dyDescent="0.2">
      <c r="A524" s="18"/>
      <c r="B524" s="7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1:11" x14ac:dyDescent="0.2">
      <c r="A525" s="18"/>
      <c r="B525" s="7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1:11" x14ac:dyDescent="0.2">
      <c r="A526" s="18"/>
      <c r="B526" s="7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1:11" x14ac:dyDescent="0.2">
      <c r="A527" s="18"/>
      <c r="B527" s="7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1:11" x14ac:dyDescent="0.2">
      <c r="A528" s="18"/>
      <c r="B528" s="7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1:11" x14ac:dyDescent="0.2">
      <c r="A529" s="18"/>
      <c r="B529" s="7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1:11" x14ac:dyDescent="0.2">
      <c r="A530" s="18"/>
      <c r="B530" s="7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1:11" x14ac:dyDescent="0.2">
      <c r="A531" s="18"/>
      <c r="B531" s="7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1:11" x14ac:dyDescent="0.2">
      <c r="A532" s="18"/>
      <c r="B532" s="7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1:11" x14ac:dyDescent="0.2">
      <c r="A533" s="18"/>
      <c r="B533" s="7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1:11" x14ac:dyDescent="0.2">
      <c r="A534" s="18"/>
      <c r="B534" s="7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1:11" x14ac:dyDescent="0.2">
      <c r="A535" s="18"/>
      <c r="B535" s="7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1:11" x14ac:dyDescent="0.2">
      <c r="A536" s="18"/>
      <c r="B536" s="7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1:11" x14ac:dyDescent="0.2">
      <c r="A537" s="18"/>
      <c r="B537" s="7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1:11" x14ac:dyDescent="0.2">
      <c r="A538" s="18"/>
      <c r="B538" s="7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1:11" x14ac:dyDescent="0.2">
      <c r="A539" s="18"/>
      <c r="B539" s="7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1:11" x14ac:dyDescent="0.2">
      <c r="A540" s="18"/>
      <c r="B540" s="7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1:11" x14ac:dyDescent="0.2">
      <c r="A541" s="18"/>
      <c r="B541" s="7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1:11" x14ac:dyDescent="0.2">
      <c r="A542" s="18"/>
      <c r="B542" s="7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1:11" x14ac:dyDescent="0.2">
      <c r="A543" s="18"/>
    </row>
    <row r="544" spans="1:11" x14ac:dyDescent="0.2">
      <c r="A544" s="18"/>
    </row>
  </sheetData>
  <mergeCells count="3">
    <mergeCell ref="B378:E378"/>
    <mergeCell ref="A24:L24"/>
    <mergeCell ref="A1:L1"/>
  </mergeCells>
  <phoneticPr fontId="0" type="noConversion"/>
  <printOptions horizontalCentered="1" gridLines="1"/>
  <pageMargins left="0.59055118110236227" right="0.19685039370078741" top="0.98425196850393704" bottom="0.98425196850393704" header="0.51181102362204722" footer="0.51181102362204722"/>
  <pageSetup paperSize="9" scale="62" fitToHeight="0" orientation="portrait" r:id="rId1"/>
  <headerFooter alignWithMargins="0">
    <oddHeader>&amp;L&amp;"Arial CE,Tučné"Stavba: &amp;"Arial CE,Obyčejné"ZS Popovice
&amp;"Arial CE,Tučné"Soubor: &amp;"Arial CE,Obyčejné"Modernizace chlazení ZS&amp;R&amp;"Arial CE,Tučné"List  :&amp;"Arial CE,Obyčejné" &amp;P
&amp;"Arial CE,Tučné"Listů:&amp;"Arial CE,Obyčejné" &amp;N</oddHeader>
    <oddFooter>&amp;L&amp;"Arial CE,Tučné"Datum:&amp;"Arial CE,Obyčejné" 04.2019&amp;C&amp;"Arial CE,Tučné"Vypracoval:&amp;"Arial CE,Obyčejné" Ing. M. Mikyna&amp;R&amp;"Arial CE,Tučné"&amp;12 4-06-119-SR Položkový</oddFooter>
  </headerFooter>
  <rowBreaks count="5" manualBreakCount="5">
    <brk id="148" max="11" man="1"/>
    <brk id="375" max="11" man="1"/>
    <brk id="412" max="11" man="1"/>
    <brk id="431" max="11" man="1"/>
    <brk id="4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Kalkulace</vt:lpstr>
      <vt:lpstr>Kalkulace!Názvy_tisku</vt:lpstr>
      <vt:lpstr>Kalkulace!Oblast_tisku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Mikyna Miroslav</dc:creator>
  <cp:lastModifiedBy>Petr Kotráš</cp:lastModifiedBy>
  <cp:lastPrinted>2020-02-28T13:00:06Z</cp:lastPrinted>
  <dcterms:created xsi:type="dcterms:W3CDTF">2000-04-12T12:33:34Z</dcterms:created>
  <dcterms:modified xsi:type="dcterms:W3CDTF">2020-03-25T22:30:43Z</dcterms:modified>
</cp:coreProperties>
</file>